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795" windowWidth="15600" windowHeight="675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F26" i="7"/>
  <c r="F25"/>
  <c r="F24"/>
  <c r="F23"/>
  <c r="F22"/>
  <c r="F21"/>
  <c r="F20"/>
  <c r="F19"/>
  <c r="F18"/>
  <c r="F17"/>
  <c r="F16"/>
  <c r="F15"/>
  <c r="F1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F52"/>
  <c r="L53" s="1"/>
  <c r="N29"/>
  <c r="M29"/>
  <c r="L29"/>
  <c r="K29"/>
  <c r="J29"/>
  <c r="I29"/>
  <c r="H29"/>
  <c r="G29"/>
  <c r="F29"/>
  <c r="E29"/>
  <c r="T23"/>
  <c r="N19"/>
  <c r="M19"/>
  <c r="L19"/>
  <c r="K19"/>
  <c r="J19"/>
  <c r="I19"/>
  <c r="H19"/>
  <c r="G19"/>
  <c r="F19"/>
  <c r="E19"/>
  <c r="D22" s="1"/>
  <c r="F11"/>
  <c r="F9"/>
  <c r="I53" l="1"/>
  <c r="N53"/>
  <c r="E53"/>
  <c r="J53"/>
  <c r="F63"/>
  <c r="K63"/>
  <c r="D32"/>
  <c r="H31" s="1"/>
  <c r="F53"/>
  <c r="K53"/>
  <c r="G53"/>
  <c r="M53"/>
  <c r="I63"/>
  <c r="N63"/>
  <c r="N21"/>
  <c r="J21"/>
  <c r="F21"/>
  <c r="M21"/>
  <c r="I21"/>
  <c r="L21"/>
  <c r="H21"/>
  <c r="K21"/>
  <c r="G21"/>
  <c r="D56"/>
  <c r="J55" s="1"/>
  <c r="G31"/>
  <c r="M31"/>
  <c r="H53"/>
  <c r="H63"/>
  <c r="D66" s="1"/>
  <c r="D24" i="15"/>
  <c r="C23"/>
  <c r="I31" i="18" l="1"/>
  <c r="N31"/>
  <c r="L31"/>
  <c r="F31"/>
  <c r="K31"/>
  <c r="J31"/>
  <c r="K65"/>
  <c r="G65"/>
  <c r="N65"/>
  <c r="L65"/>
  <c r="J65"/>
  <c r="H65"/>
  <c r="I65"/>
  <c r="M65"/>
  <c r="F65"/>
  <c r="K55"/>
  <c r="G55"/>
  <c r="L55"/>
  <c r="F55"/>
  <c r="E55" s="1"/>
  <c r="H55"/>
  <c r="M55"/>
  <c r="E21"/>
  <c r="N55"/>
  <c r="I55"/>
  <c r="F69" i="17"/>
  <c r="G69"/>
  <c r="H69"/>
  <c r="I69"/>
  <c r="J69"/>
  <c r="K69"/>
  <c r="L69"/>
  <c r="M69"/>
  <c r="N69"/>
  <c r="E69"/>
  <c r="E31" i="18" l="1"/>
  <c r="E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V19"/>
  <c r="W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V23"/>
  <c r="W23"/>
  <c r="R24"/>
  <c r="S24"/>
  <c r="T24"/>
  <c r="U24"/>
  <c r="V24"/>
  <c r="W24"/>
  <c r="R25"/>
  <c r="S25"/>
  <c r="T25"/>
  <c r="U25"/>
  <c r="V25"/>
  <c r="W25"/>
  <c r="X21" l="1"/>
  <c r="X25"/>
  <c r="X11"/>
  <c r="X24"/>
  <c r="X23"/>
  <c r="X20"/>
  <c r="X19"/>
  <c r="X16"/>
  <c r="X15"/>
  <c r="X17"/>
  <c r="X22"/>
  <c r="X18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7" l="1"/>
  <c r="E5" i="18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W26" i="7" s="1"/>
  <c r="H21" i="4"/>
  <c r="V26" i="7" s="1"/>
  <c r="G21" i="4"/>
  <c r="U26" i="7" s="1"/>
  <c r="F21" i="4"/>
  <c r="T26" i="7" s="1"/>
  <c r="E21" i="4"/>
  <c r="S26" i="7" s="1"/>
  <c r="D21" i="4"/>
  <c r="R26" i="7" s="1"/>
  <c r="X26" s="1"/>
  <c r="M20" i="4"/>
  <c r="M19"/>
  <c r="M16"/>
  <c r="M18"/>
  <c r="M17"/>
  <c r="M15"/>
  <c r="M14"/>
  <c r="M13"/>
  <c r="M12"/>
  <c r="M11"/>
  <c r="C3" i="8" l="1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J14" i="7" l="1"/>
  <c r="N14"/>
  <c r="I15"/>
  <c r="M15"/>
  <c r="H16"/>
  <c r="L16"/>
  <c r="P16"/>
  <c r="K17"/>
  <c r="O17"/>
  <c r="J18"/>
  <c r="N18"/>
  <c r="I19"/>
  <c r="M19"/>
  <c r="H20"/>
  <c r="L20"/>
  <c r="P20"/>
  <c r="K21"/>
  <c r="O21"/>
  <c r="J22"/>
  <c r="N22"/>
  <c r="I23"/>
  <c r="M23"/>
  <c r="H24"/>
  <c r="L24"/>
  <c r="P24"/>
  <c r="K25"/>
  <c r="O25"/>
  <c r="J26"/>
  <c r="N26"/>
  <c r="N11"/>
  <c r="L11"/>
  <c r="H11"/>
  <c r="L14"/>
  <c r="K15"/>
  <c r="N16"/>
  <c r="M17"/>
  <c r="L18"/>
  <c r="K19"/>
  <c r="J20"/>
  <c r="I21"/>
  <c r="H22"/>
  <c r="P22"/>
  <c r="O23"/>
  <c r="N24"/>
  <c r="M25"/>
  <c r="L26"/>
  <c r="P11"/>
  <c r="I14"/>
  <c r="H15"/>
  <c r="P15"/>
  <c r="O16"/>
  <c r="N17"/>
  <c r="M18"/>
  <c r="L19"/>
  <c r="K20"/>
  <c r="J21"/>
  <c r="I22"/>
  <c r="H23"/>
  <c r="P23"/>
  <c r="O24"/>
  <c r="N25"/>
  <c r="M26"/>
  <c r="M11"/>
  <c r="K14"/>
  <c r="O14"/>
  <c r="J15"/>
  <c r="N15"/>
  <c r="I16"/>
  <c r="M16"/>
  <c r="H17"/>
  <c r="L17"/>
  <c r="P17"/>
  <c r="K18"/>
  <c r="O18"/>
  <c r="J19"/>
  <c r="N19"/>
  <c r="I20"/>
  <c r="M20"/>
  <c r="H21"/>
  <c r="L21"/>
  <c r="P21"/>
  <c r="K22"/>
  <c r="O22"/>
  <c r="J23"/>
  <c r="N23"/>
  <c r="I24"/>
  <c r="M24"/>
  <c r="H25"/>
  <c r="L25"/>
  <c r="P25"/>
  <c r="K26"/>
  <c r="O26"/>
  <c r="O11"/>
  <c r="J11"/>
  <c r="H14"/>
  <c r="P14"/>
  <c r="O15"/>
  <c r="J16"/>
  <c r="I17"/>
  <c r="H18"/>
  <c r="P18"/>
  <c r="O19"/>
  <c r="N20"/>
  <c r="M21"/>
  <c r="L22"/>
  <c r="K23"/>
  <c r="J24"/>
  <c r="I25"/>
  <c r="H26"/>
  <c r="P26"/>
  <c r="K11"/>
  <c r="M14"/>
  <c r="L15"/>
  <c r="K16"/>
  <c r="J17"/>
  <c r="I18"/>
  <c r="H19"/>
  <c r="P19"/>
  <c r="O20"/>
  <c r="N21"/>
  <c r="M22"/>
  <c r="L23"/>
  <c r="K24"/>
  <c r="J25"/>
  <c r="I26"/>
  <c r="I11"/>
  <c r="F11"/>
  <c r="M8" i="4"/>
  <c r="M7"/>
  <c r="C5" i="1"/>
  <c r="D6" i="15"/>
  <c r="D6" i="7"/>
  <c r="Q18" l="1"/>
  <c r="Q13"/>
  <c r="Q15"/>
  <c r="Q11"/>
  <c r="Q20"/>
  <c r="Q12"/>
  <c r="Q26"/>
  <c r="Q25"/>
  <c r="Q16"/>
  <c r="Q21"/>
  <c r="Q22"/>
  <c r="Q19"/>
  <c r="Q14"/>
  <c r="Q17"/>
  <c r="Q23"/>
  <c r="Q24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<sst xmlns="http://schemas.openxmlformats.org/spreadsheetml/2006/main" count="1381" uniqueCount="687">
  <si>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</si>
  <si>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</si>
  <si>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</si>
  <si>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</si>
  <si>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</si>
  <si>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</si>
  <si>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</si>
  <si>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</si>
  <si>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</si>
  <si>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</si>
  <si>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</si>
  <si>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</si>
  <si>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</si>
  <si>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</si>
  <si>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</si>
  <si>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</si>
  <si>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</si>
  <si>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</si>
  <si>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</si>
  <si>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</si>
  <si>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</si>
  <si>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</si>
  <si>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</si>
  <si>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</si>
  <si>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</si>
  <si>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</si>
  <si>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</si>
  <si>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</si>
  <si>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</si>
  <si>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</si>
  <si>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</si>
  <si>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</si>
  <si>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</si>
  <si>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</si>
  <si>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</si>
  <si>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</si>
  <si>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</si>
  <si>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</si>
  <si>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</si>
  <si>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</si>
  <si>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</si>
  <si>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</si>
  <si>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</si>
  <si>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</si>
  <si>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</si>
  <si>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</si>
  <si>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</si>
  <si>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</si>
  <si>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</si>
  <si>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</si>
  <si>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</si>
  <si>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</si>
  <si>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</si>
  <si>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</si>
  <si>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</si>
  <si>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</si>
  <si>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</si>
  <si>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</si>
  <si>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</si>
  <si>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</si>
  <si>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</si>
  <si>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</si>
  <si>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</si>
  <si>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</si>
  <si>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</si>
  <si>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</si>
  <si>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</si>
  <si>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</si>
  <si>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</si>
  <si>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</si>
  <si>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</si>
  <si>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</si>
  <si>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</si>
  <si>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</si>
  <si>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</si>
  <si>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</si>
  <si>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</si>
  <si>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</si>
  <si>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</si>
  <si>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</si>
  <si>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</si>
  <si>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</si>
  <si>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</si>
  <si>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</si>
  <si>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</si>
  <si>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</si>
  <si>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</si>
  <si>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</si>
  <si>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</si>
  <si>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</si>
  <si>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</si>
  <si>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</si>
  <si>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</si>
  <si>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</si>
  <si>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</si>
  <si>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</si>
  <si>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</si>
  <si>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</si>
  <si>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</si>
  <si>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</si>
  <si>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</si>
  <si>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</si>
  <si>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</si>
  <si>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</si>
  <si>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</si>
  <si>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</si>
  <si>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</si>
  <si>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</si>
  <si>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</si>
  <si>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</si>
  <si>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</si>
  <si>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</si>
  <si>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</si>
  <si>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</si>
  <si>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</si>
  <si>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</si>
  <si>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</si>
  <si>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</si>
  <si>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</si>
  <si>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</si>
  <si>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</si>
  <si>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</si>
  <si>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</si>
  <si>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</si>
  <si>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</si>
  <si>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</si>
  <si>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</si>
  <si>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</si>
  <si>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</si>
  <si>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</si>
  <si>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</si>
  <si>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</si>
  <si>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</si>
  <si>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</si>
  <si>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</si>
  <si>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</si>
  <si>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</si>
  <si>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</si>
  <si>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</si>
  <si>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</si>
  <si>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</si>
  <si>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</si>
  <si>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</si>
  <si>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</si>
  <si>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</si>
  <si>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</si>
  <si>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</si>
  <si>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</si>
  <si>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</si>
  <si>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</si>
  <si>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</si>
  <si>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</si>
  <si>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</si>
  <si>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</si>
  <si>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</si>
  <si>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</si>
  <si>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</si>
  <si>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</si>
  <si>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</si>
  <si>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</si>
  <si>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</si>
  <si>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</si>
  <si>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</si>
  <si>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</si>
  <si>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</si>
  <si>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</si>
  <si>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</si>
  <si>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</si>
  <si>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</si>
  <si>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</si>
  <si>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</si>
  <si>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</si>
  <si>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</si>
  <si>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</si>
  <si>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</si>
  <si>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</si>
  <si>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</si>
  <si>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</si>
  <si>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</si>
  <si>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</si>
  <si>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</si>
  <si>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</si>
  <si>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</si>
  <si>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</si>
  <si>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</si>
  <si>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</si>
  <si>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</si>
  <si>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</si>
  <si>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</si>
  <si>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</si>
  <si>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</si>
  <si>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</si>
  <si>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</si>
  <si>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</si>
  <si>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</si>
  <si>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</si>
  <si>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</si>
  <si>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</si>
  <si>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</si>
  <si>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</si>
  <si>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</si>
  <si>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</si>
  <si>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</si>
  <si>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</si>
  <si>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</si>
  <si>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</si>
  <si>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</si>
  <si>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</si>
  <si>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</si>
  <si>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</si>
  <si>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</si>
  <si>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</si>
  <si>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</si>
  <si>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</si>
  <si>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</si>
  <si>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</si>
  <si>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</si>
  <si>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</si>
  <si>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</si>
  <si>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</si>
  <si>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</si>
  <si>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</si>
  <si>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</si>
  <si>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</si>
  <si>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</si>
  <si>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</si>
  <si>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</si>
  <si>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</si>
  <si>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</si>
  <si>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</si>
  <si>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</si>
  <si>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</si>
  <si>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</si>
  <si>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</si>
  <si>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</si>
  <si>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</si>
  <si>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</si>
  <si>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</si>
  <si>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</si>
  <si>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</si>
  <si>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</si>
  <si>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</si>
  <si>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</si>
  <si>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</si>
  <si>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</si>
  <si>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</si>
  <si>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</si>
  <si>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</si>
  <si>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</si>
  <si>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</si>
  <si>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</si>
  <si>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</si>
  <si>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</si>
  <si>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</si>
  <si>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</si>
  <si>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</si>
  <si>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</si>
  <si>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</si>
  <si>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</si>
  <si>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</si>
  <si>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</si>
  <si>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</si>
  <si>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</si>
  <si>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</si>
  <si>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</si>
  <si>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</si>
  <si>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</si>
  <si>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</si>
  <si>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</si>
  <si>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</si>
  <si>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</si>
  <si>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</si>
  <si>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</si>
  <si>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</si>
  <si>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</si>
  <si>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</si>
  <si>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</si>
  <si>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</si>
  <si>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</si>
  <si>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</si>
  <si>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</si>
  <si>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</si>
  <si>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</si>
  <si>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</si>
  <si>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</si>
  <si>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</si>
  <si>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</si>
  <si>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</si>
  <si>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</si>
  <si>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</si>
  <si>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</si>
  <si>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</si>
  <si>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</si>
  <si>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</si>
  <si>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</si>
  <si>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</si>
  <si>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</si>
  <si>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</si>
  <si>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</si>
  <si>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</si>
  <si>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</si>
  <si>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</si>
  <si>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</si>
  <si>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</si>
  <si>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</si>
  <si>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</si>
  <si>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</si>
  <si>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</si>
  <si>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</si>
  <si>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</si>
  <si>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</si>
  <si>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</si>
  <si>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</si>
  <si>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</si>
  <si>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</si>
  <si>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</si>
  <si>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</si>
  <si>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</si>
  <si>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</si>
  <si>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</si>
  <si>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</si>
  <si>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</si>
  <si>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</si>
  <si>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</si>
  <si>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</si>
  <si>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</si>
  <si>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</si>
  <si>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</si>
  <si>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</si>
  <si>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</si>
  <si>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</si>
  <si>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</si>
  <si>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</si>
  <si>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</si>
  <si>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</si>
  <si>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</si>
  <si>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</si>
  <si>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</si>
  <si>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</si>
  <si>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</si>
  <si>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</si>
  <si>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</si>
  <si>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</si>
  <si>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</si>
  <si>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</si>
  <si>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</si>
  <si>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</si>
  <si>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</si>
  <si>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</si>
  <si>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</si>
  <si>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</si>
  <si>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</si>
  <si>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</si>
  <si>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</si>
  <si>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</si>
  <si>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</si>
  <si>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</si>
  <si>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</si>
  <si>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</si>
  <si>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</si>
  <si>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</si>
  <si>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</si>
  <si>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</si>
  <si>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</si>
  <si>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</si>
  <si>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</si>
  <si>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</si>
  <si>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</si>
  <si>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</si>
  <si>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</si>
  <si>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</si>
  <si>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</si>
  <si>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</si>
  <si>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</si>
  <si>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</si>
  <si>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</si>
  <si>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</si>
  <si>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</si>
  <si>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</si>
  <si>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</si>
  <si>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</si>
  <si>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</si>
  <si>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</si>
  <si>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</si>
  <si>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</si>
  <si>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</si>
  <si>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</si>
  <si>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</si>
  <si>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</si>
  <si>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</si>
  <si>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</si>
  <si>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</si>
  <si>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</si>
  <si>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</si>
  <si>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</si>
  <si>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</si>
  <si>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</si>
  <si>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</si>
  <si>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</si>
  <si>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</si>
  <si>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</si>
  <si>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</si>
  <si>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</si>
  <si>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</si>
  <si>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</si>
  <si>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</si>
  <si>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</si>
  <si>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</si>
  <si>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</si>
  <si>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</si>
  <si>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</si>
  <si>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</si>
  <si>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</si>
  <si>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</si>
  <si>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</si>
  <si>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</si>
  <si>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</si>
  <si>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</si>
  <si>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</si>
  <si>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</si>
  <si>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</si>
  <si>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</si>
  <si>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</si>
  <si>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</si>
  <si>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</si>
  <si>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</si>
  <si>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</si>
  <si>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</si>
  <si>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</si>
  <si>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</si>
  <si>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</si>
  <si>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</si>
  <si>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</si>
  <si>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</si>
  <si>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</si>
  <si>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</si>
  <si>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</si>
  <si>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</si>
  <si>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</si>
  <si>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</si>
  <si>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</si>
  <si>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</si>
  <si>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</si>
  <si>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</si>
  <si>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</si>
  <si>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</si>
  <si>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</si>
  <si>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</si>
  <si>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</si>
  <si>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</si>
  <si>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</si>
  <si>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</si>
  <si>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</si>
  <si>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</si>
  <si>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</si>
  <si>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</si>
  <si>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</si>
  <si>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</si>
  <si>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</si>
  <si>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</si>
  <si>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</si>
  <si>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</si>
  <si>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</si>
  <si>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</si>
  <si>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</si>
  <si>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</si>
  <si>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</si>
  <si>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</si>
  <si>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</si>
  <si>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</si>
  <si>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</si>
  <si>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</si>
  <si>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</si>
  <si>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</si>
  <si>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</si>
  <si>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</si>
  <si>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</si>
  <si>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</si>
  <si>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</si>
  <si>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</si>
  <si>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</si>
  <si>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</si>
  <si>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</si>
  <si>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</si>
  <si>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</si>
  <si>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</si>
  <si>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</si>
  <si>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</si>
  <si>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</si>
  <si>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</si>
  <si>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</si>
  <si>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</si>
  <si>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</si>
  <si>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</si>
  <si>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</si>
  <si>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</si>
  <si>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</si>
  <si>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</si>
  <si>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</si>
  <si>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</si>
  <si>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</si>
  <si>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</si>
  <si>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</si>
  <si>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</si>
  <si>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</si>
  <si>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</si>
  <si>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</si>
  <si>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</si>
  <si>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</si>
  <si>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</si>
  <si>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</si>
  <si>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</si>
  <si>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</si>
  <si>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</si>
  <si>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</si>
  <si>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</si>
  <si>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</si>
  <si>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</si>
  <si>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</si>
  <si>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</si>
  <si>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</si>
  <si>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</si>
  <si>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</si>
  <si>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</si>
  <si>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</si>
  <si>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</si>
  <si>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</si>
  <si>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</si>
  <si>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</si>
  <si>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</si>
  <si>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</si>
  <si>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</si>
  <si>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</si>
  <si>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</si>
  <si>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</si>
  <si>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</si>
  <si>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</si>
  <si>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</si>
  <si>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</si>
  <si>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</si>
  <si>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</si>
  <si>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</si>
  <si>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</si>
  <si>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</si>
  <si>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</si>
  <si>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</si>
  <si>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</si>
  <si>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</si>
  <si>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</si>
  <si>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</si>
  <si>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</si>
  <si>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</si>
  <si>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</si>
  <si>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</si>
  <si>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</si>
  <si>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</si>
  <si>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</si>
  <si>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</si>
  <si>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</si>
  <si>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</si>
  <si>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</si>
  <si>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</si>
  <si>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</si>
  <si>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</si>
  <si>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</si>
  <si>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</si>
  <si>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</si>
  <si>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</si>
  <si>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</si>
  <si>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</si>
  <si>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</si>
  <si>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</si>
  <si>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</si>
  <si>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</si>
  <si>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</si>
  <si>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</si>
  <si>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</si>
  <si>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</si>
  <si>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</si>
  <si>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</si>
  <si>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</si>
  <si>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</si>
  <si>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</si>
  <si>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</si>
  <si>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</si>
  <si>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</si>
  <si>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</si>
  <si>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</si>
  <si>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</si>
  <si>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</si>
  <si>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</si>
  <si>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</si>
  <si>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</si>
  <si>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</si>
  <si>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</si>
  <si>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</si>
  <si>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</si>
  <si>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</si>
  <si>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</si>
  <si>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</si>
  <si>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</si>
  <si>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</si>
  <si>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</si>
  <si>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</si>
  <si>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</si>
  <si>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</si>
  <si>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</si>
  <si>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</si>
  <si>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</si>
  <si>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</si>
  <si>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</si>
  <si>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</si>
  <si>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</si>
  <si>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</si>
  <si>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</si>
  <si>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</si>
  <si>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</si>
  <si>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</si>
  <si>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</si>
  <si>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</si>
  <si>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</si>
  <si>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</si>
  <si>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</si>
  <si>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</si>
  <si>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</si>
  <si>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</si>
  <si>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</si>
  <si>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</si>
  <si>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</si>
  <si>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</si>
  <si>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</si>
  <si>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</si>
  <si>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</si>
  <si>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</si>
  <si>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</si>
  <si>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</si>
  <si>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</si>
  <si>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</si>
  <si>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</si>
  <si>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</si>
  <si>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</si>
  <si>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</si>
  <si>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</si>
  <si>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</si>
  <si>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</si>
  <si>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</si>
  <si>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</si>
  <si>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</si>
  <si>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</si>
  <si>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</si>
  <si>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</si>
  <si>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</si>
  <si>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</si>
  <si>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</si>
  <si>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</si>
  <si>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</si>
  <si>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</si>
  <si>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</si>
  <si>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Jülich GmbH</t>
  </si>
  <si>
    <t>9870106800005</t>
  </si>
  <si>
    <t>An der Vogelstange 2a</t>
  </si>
  <si>
    <t>Jülich</t>
  </si>
  <si>
    <t>Guido Schweren</t>
  </si>
  <si>
    <t>edm@stadtwerke-juelich.de</t>
  </si>
  <si>
    <t>02461/625-244</t>
  </si>
  <si>
    <t>Stadtwerke Jülich</t>
  </si>
  <si>
    <t>NCHN701068000000</t>
  </si>
  <si>
    <t>TZ_JUEL</t>
  </si>
  <si>
    <t>Pronosetemperatur der BTU EVU Rechenzentrum GmbH, Leostrasse 31, 40545 Düsseldorf</t>
  </si>
  <si>
    <t>Erkelenz</t>
  </si>
  <si>
    <t>SWJ_HEF</t>
  </si>
  <si>
    <t>SWJ_HMF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</si>
  <si>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</si>
  <si>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</si>
  <si>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</si>
  <si>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</si>
  <si>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</si>
  <si>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</si>
  <si>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</si>
  <si>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</si>
  <si>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</si>
  <si>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</si>
  <si>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DE_GBA04</t>
  </si>
  <si>
    <t>DE_GMF04</t>
  </si>
  <si>
    <t>Ind.-Koef.</t>
  </si>
  <si>
    <t>J10</t>
  </si>
  <si>
    <t>J20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</si>
</sst>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arnender Text 2" xfId="108"/>
    <cellStyle name="Warnender Text 2 2" xfId="134"/>
    <cellStyle name="Whrung" xfId="107"/>
    <cellStyle name="Zelle überprüfen 2" xfId="109"/>
    <cellStyle name="Zelle überprüfen 2 2" xfId="133"/>
  </cellStyles>
  <dxfs count="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M%20System/Gas/Kooperationsvereinbarungen/KoV_VIII/15-06-30_SLP_Gas_Verfahrensspezifische_Parameter_Netzbetreiber_NCHN7010680000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8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41275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41275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39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52428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397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Stadtwerke Jülich</v>
      </c>
      <c r="E28" s="38"/>
      <c r="F28" s="11"/>
      <c r="G28" s="2"/>
    </row>
    <row r="29" spans="1:15">
      <c r="B29" s="15"/>
      <c r="C29" s="22" t="s">
        <v>397</v>
      </c>
      <c r="D29" s="45" t="s">
        <v>665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7" priority="3">
      <formula>IF(CELL("Zeile",D29)&lt;$D$25+CELL("Zeile",$D$29),1,0)</formula>
    </cfRule>
  </conditionalFormatting>
  <conditionalFormatting sqref="D30:D48">
    <cfRule type="expression" dxfId="66" priority="2">
      <formula>IF(CELL(D30)&lt;$D$27+27,1,0)</formula>
    </cfRule>
  </conditionalFormatting>
  <conditionalFormatting sqref="D29">
    <cfRule type="expression" dxfId="65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Jülich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Stadtwerke Jülich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 t="str">
        <f>Netzbetreiber!$D$11</f>
        <v>9870106800005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41275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257</v>
      </c>
      <c r="E11" s="15"/>
      <c r="H11" s="276" t="s">
        <v>257</v>
      </c>
      <c r="I11" s="276" t="s">
        <v>260</v>
      </c>
      <c r="J11" s="276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6" t="s">
        <v>623</v>
      </c>
      <c r="I13" s="276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1" t="s">
        <v>666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432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74" t="s">
        <v>258</v>
      </c>
      <c r="I18" s="274" t="s">
        <v>135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582</v>
      </c>
      <c r="I19" s="275" t="s">
        <v>493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494</v>
      </c>
      <c r="I20" s="275" t="s">
        <v>495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2" t="s">
        <v>616</v>
      </c>
      <c r="I22" s="272" t="s">
        <v>617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2" t="s">
        <v>619</v>
      </c>
      <c r="I23" s="8" t="s">
        <v>615</v>
      </c>
      <c r="J23" s="8"/>
      <c r="K23" s="8"/>
      <c r="L23" s="273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2" t="s">
        <v>618</v>
      </c>
      <c r="I24" s="272" t="s">
        <v>625</v>
      </c>
      <c r="J24" s="8"/>
      <c r="K24" s="8"/>
      <c r="L24" s="275" t="s">
        <v>626</v>
      </c>
      <c r="M24" s="275" t="s">
        <v>628</v>
      </c>
      <c r="N24" s="275" t="s">
        <v>627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372</v>
      </c>
      <c r="C26" s="6" t="s">
        <v>585</v>
      </c>
      <c r="D26" s="42" t="s">
        <v>136</v>
      </c>
      <c r="E26" s="15"/>
      <c r="H26" s="274" t="s">
        <v>134</v>
      </c>
      <c r="I26" s="274" t="s">
        <v>136</v>
      </c>
      <c r="J26" s="272"/>
      <c r="K26" s="272"/>
      <c r="L26" s="273"/>
    </row>
    <row r="27" spans="2:16" ht="15" customHeight="1">
      <c r="B27" s="7"/>
      <c r="C27" s="6" t="s">
        <v>629</v>
      </c>
      <c r="D27" s="42" t="s">
        <v>630</v>
      </c>
      <c r="E27" s="15"/>
      <c r="H27" s="308" t="s">
        <v>630</v>
      </c>
      <c r="I27" s="274" t="s">
        <v>631</v>
      </c>
      <c r="J27" s="274" t="s">
        <v>632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633</v>
      </c>
      <c r="I28" s="275" t="s">
        <v>634</v>
      </c>
      <c r="J28" s="275" t="s">
        <v>635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636</v>
      </c>
      <c r="I29" s="275" t="s">
        <v>637</v>
      </c>
      <c r="J29" s="275" t="s">
        <v>638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4" t="s">
        <v>134</v>
      </c>
      <c r="I31" s="274" t="s">
        <v>136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639</v>
      </c>
      <c r="I32" s="275" t="s">
        <v>640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641</v>
      </c>
      <c r="I33" s="272" t="s">
        <v>636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556</v>
      </c>
      <c r="C35" s="24" t="s">
        <v>500</v>
      </c>
      <c r="D35" s="268">
        <v>15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557</v>
      </c>
      <c r="C37" s="5" t="s">
        <v>367</v>
      </c>
      <c r="D37" s="34">
        <v>1500000</v>
      </c>
      <c r="E37" s="15" t="s">
        <v>513</v>
      </c>
      <c r="I37" s="272"/>
      <c r="J37" s="272"/>
      <c r="K37" s="272"/>
      <c r="L37" s="272"/>
      <c r="M37" s="273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368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667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sheetProtection sheet="1" objects="1" scenarios="1"/>
  <conditionalFormatting sqref="D15">
    <cfRule type="expression" dxfId="64" priority="21">
      <formula>IF($D$11="Gaspool",1,0)</formula>
    </cfRule>
  </conditionalFormatting>
  <conditionalFormatting sqref="D16">
    <cfRule type="expression" dxfId="63" priority="18">
      <formula>IF($D$11="NCG",1,0)</formula>
    </cfRule>
  </conditionalFormatting>
  <conditionalFormatting sqref="D48:D62">
    <cfRule type="expression" dxfId="62" priority="17">
      <formula>IF(CELL("Zeile",D48)&lt;$D$46+CELL("Zeile",$D$48),1,0)</formula>
    </cfRule>
  </conditionalFormatting>
  <conditionalFormatting sqref="D49:D62">
    <cfRule type="expression" dxfId="61" priority="16">
      <formula>IF(CELL(D49)&lt;$D$36+27,1,0)</formula>
    </cfRule>
  </conditionalFormatting>
  <conditionalFormatting sqref="D23">
    <cfRule type="expression" dxfId="60" priority="15">
      <formula>IF($D$22=$H$22,1,0)</formula>
    </cfRule>
  </conditionalFormatting>
  <conditionalFormatting sqref="D31">
    <cfRule type="expression" dxfId="59" priority="4">
      <formula>IF($D$18="synthetisch",1,0)</formula>
    </cfRule>
  </conditionalFormatting>
  <conditionalFormatting sqref="D28">
    <cfRule type="expression" dxfId="58" priority="2">
      <formula>IF(AND($D$27=$I$27,$D$26=$H$26),1,0)</formula>
    </cfRule>
  </conditionalFormatting>
  <conditionalFormatting sqref="D26:D28">
    <cfRule type="expression" dxfId="57" priority="5">
      <formula>IF($D$18="analytisch",1,0)</formula>
    </cfRule>
  </conditionalFormatting>
  <conditionalFormatting sqref="D27">
    <cfRule type="expression" dxfId="56" priority="3">
      <formula>IF($D$26="nein",1)</formula>
    </cfRule>
  </conditionalFormatting>
  <conditionalFormatting sqref="D15">
    <cfRule type="expression" dxfId="55" priority="1">
      <formula>IF($D$11="Gaspool",1,0)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abSelected="1" topLeftCell="A19" zoomScale="70" zoomScaleNormal="70" workbookViewId="0">
      <selection activeCell="E57" sqref="E57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551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Jülich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2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9">
        <v>1</v>
      </c>
      <c r="G10" s="57"/>
      <c r="H10" s="172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6" t="str">
        <f>INDEX('SLP-Verfahren'!D48:D62,'SLP-Temp-Gebiet #01'!F10)</f>
        <v>TZ_JUEL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3" t="s">
        <v>591</v>
      </c>
      <c r="D13" s="343"/>
      <c r="E13" s="343"/>
      <c r="F13" s="183" t="s">
        <v>555</v>
      </c>
      <c r="G13" s="131" t="s">
        <v>553</v>
      </c>
      <c r="H13" s="265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4" t="s">
        <v>452</v>
      </c>
      <c r="D14" s="344"/>
      <c r="E14" s="90" t="s">
        <v>453</v>
      </c>
      <c r="F14" s="266" t="s">
        <v>85</v>
      </c>
      <c r="G14" s="267" t="s">
        <v>579</v>
      </c>
      <c r="H14" s="51">
        <v>0</v>
      </c>
      <c r="I14" s="57"/>
      <c r="J14" s="131"/>
      <c r="K14" s="131"/>
      <c r="L14" s="131"/>
      <c r="M14" s="131"/>
      <c r="N14" s="131"/>
      <c r="O14" s="173" t="s">
        <v>534</v>
      </c>
      <c r="R14" s="209" t="s">
        <v>571</v>
      </c>
      <c r="S14" s="209" t="s">
        <v>572</v>
      </c>
      <c r="T14" s="209" t="s">
        <v>573</v>
      </c>
      <c r="U14" s="209" t="s">
        <v>574</v>
      </c>
      <c r="V14" s="209" t="s">
        <v>554</v>
      </c>
      <c r="W14" s="209" t="s">
        <v>575</v>
      </c>
      <c r="X14" s="209" t="s">
        <v>576</v>
      </c>
      <c r="Y14" s="209" t="s">
        <v>577</v>
      </c>
      <c r="Z14" s="209" t="s">
        <v>578</v>
      </c>
      <c r="AA14" s="209" t="s">
        <v>579</v>
      </c>
      <c r="AB14" s="209" t="s">
        <v>580</v>
      </c>
      <c r="AC14" s="209" t="s">
        <v>581</v>
      </c>
    </row>
    <row r="15" spans="1:56" ht="45">
      <c r="B15" s="131"/>
      <c r="C15" s="344" t="s">
        <v>389</v>
      </c>
      <c r="D15" s="344"/>
      <c r="E15" s="90" t="s">
        <v>453</v>
      </c>
      <c r="F15" s="266" t="s">
        <v>71</v>
      </c>
      <c r="G15" s="267" t="s">
        <v>573</v>
      </c>
      <c r="H15" s="51">
        <v>0</v>
      </c>
      <c r="I15" s="57"/>
      <c r="J15" s="131"/>
      <c r="K15" s="131"/>
      <c r="L15" s="131"/>
      <c r="M15" s="131"/>
      <c r="N15" s="131"/>
      <c r="O15" s="340" t="s">
        <v>668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498</v>
      </c>
      <c r="AI15" s="264" t="s">
        <v>556</v>
      </c>
      <c r="AJ15" s="264" t="s">
        <v>557</v>
      </c>
      <c r="AK15" s="264" t="s">
        <v>558</v>
      </c>
      <c r="AL15" s="264" t="s">
        <v>559</v>
      </c>
      <c r="AM15" s="264" t="s">
        <v>560</v>
      </c>
      <c r="AN15" s="264" t="s">
        <v>561</v>
      </c>
      <c r="AO15" s="264" t="s">
        <v>562</v>
      </c>
      <c r="AP15" s="264" t="s">
        <v>563</v>
      </c>
      <c r="AQ15" s="264" t="s">
        <v>564</v>
      </c>
      <c r="AR15" s="264" t="s">
        <v>565</v>
      </c>
      <c r="AS15" s="264" t="s">
        <v>566</v>
      </c>
      <c r="AT15" s="264" t="s">
        <v>567</v>
      </c>
      <c r="AU15" s="264" t="s">
        <v>568</v>
      </c>
      <c r="AV15" s="264" t="s">
        <v>569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175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524</v>
      </c>
      <c r="C17" s="177"/>
      <c r="D17" s="17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525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532</v>
      </c>
      <c r="D21" s="154" t="s">
        <v>522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544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668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Pronosetemperatur der BTU EVU Rechenzentrum GmbH, Leostrasse 31, 40545 Düsseldorf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527</v>
      </c>
      <c r="D24" s="188"/>
      <c r="E24" s="341" t="s">
        <v>669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5" t="s">
        <v>528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>
        <v>104031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533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540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5" t="s">
        <v>142</v>
      </c>
      <c r="Q35" s="211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538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537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543</v>
      </c>
      <c r="D46" s="201" t="s">
        <v>541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541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586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525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532</v>
      </c>
      <c r="D55" s="154" t="s">
        <v>522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544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">
        <v>509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527</v>
      </c>
      <c r="D58" s="188"/>
      <c r="E58" s="157" t="str">
        <f>E24</f>
        <v>Erkelenz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5" t="s">
        <v>528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>
        <f>E25</f>
        <v>104031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533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540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5" t="s">
        <v>142</v>
      </c>
    </row>
    <row r="69" spans="2:15">
      <c r="B69" s="183"/>
      <c r="C69" s="187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5" t="s">
        <v>142</v>
      </c>
    </row>
    <row r="70" spans="2:15">
      <c r="B70" s="183"/>
      <c r="C70" s="192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5" t="s">
        <v>142</v>
      </c>
    </row>
    <row r="71" spans="2:15"/>
    <row r="72" spans="2:15" ht="15.75" customHeight="1">
      <c r="C72" s="345" t="s">
        <v>587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54" priority="32">
      <formula>IF(E$20&lt;=$F$18,1,0)</formula>
    </cfRule>
  </conditionalFormatting>
  <conditionalFormatting sqref="E32:N36">
    <cfRule type="expression" dxfId="53" priority="31">
      <formula>IF(E$30&lt;=$F$28,1,0)</formula>
    </cfRule>
  </conditionalFormatting>
  <conditionalFormatting sqref="E26:F26">
    <cfRule type="expression" dxfId="52" priority="30">
      <formula>IF(E$20&lt;=$F$18,1,0)</formula>
    </cfRule>
  </conditionalFormatting>
  <conditionalFormatting sqref="E26:N26">
    <cfRule type="expression" dxfId="51" priority="29">
      <formula>IF(E$20&lt;=$F$18,1,0)</formula>
    </cfRule>
  </conditionalFormatting>
  <conditionalFormatting sqref="E56:N59">
    <cfRule type="expression" dxfId="50" priority="26">
      <formula>IF(E$54&lt;=$F$52,1,0)</formula>
    </cfRule>
  </conditionalFormatting>
  <conditionalFormatting sqref="E60:N60">
    <cfRule type="expression" dxfId="49" priority="25">
      <formula>IF(E$54&lt;=$F$52,1,0)</formula>
    </cfRule>
  </conditionalFormatting>
  <conditionalFormatting sqref="E66:N68">
    <cfRule type="expression" dxfId="48" priority="19">
      <formula>IF(E$64&lt;=$F$62,1,0)</formula>
    </cfRule>
  </conditionalFormatting>
  <conditionalFormatting sqref="E65:N68 E70:N70">
    <cfRule type="expression" dxfId="47" priority="17">
      <formula>IF(E$64&gt;$F$62,1,0)</formula>
    </cfRule>
  </conditionalFormatting>
  <conditionalFormatting sqref="E56:N60">
    <cfRule type="expression" dxfId="46" priority="16">
      <formula>IF(E$54&gt;$F$52,1,0)</formula>
    </cfRule>
  </conditionalFormatting>
  <conditionalFormatting sqref="E21:N26">
    <cfRule type="expression" dxfId="45" priority="15">
      <formula>IF(E$20&gt;$F$18,1,0)</formula>
    </cfRule>
  </conditionalFormatting>
  <conditionalFormatting sqref="E32:N36">
    <cfRule type="expression" dxfId="44" priority="14">
      <formula>IF(E$30&gt;$F$28,1,0)</formula>
    </cfRule>
  </conditionalFormatting>
  <conditionalFormatting sqref="H11 H8:H9">
    <cfRule type="expression" dxfId="43" priority="13">
      <formula>IF($F$9=1,1,0)</formula>
    </cfRule>
  </conditionalFormatting>
  <conditionalFormatting sqref="E55:N55">
    <cfRule type="expression" dxfId="42" priority="12">
      <formula>IF(E$54&gt;$F$52,1,0)</formula>
    </cfRule>
  </conditionalFormatting>
  <conditionalFormatting sqref="E31:N31">
    <cfRule type="expression" dxfId="41" priority="11">
      <formula>IF(E$30&gt;$F$28,1,0)</formula>
    </cfRule>
  </conditionalFormatting>
  <conditionalFormatting sqref="E70:N70">
    <cfRule type="expression" dxfId="40" priority="10">
      <formula>IF(E$64&lt;=$F$62,1,0)</formula>
    </cfRule>
  </conditionalFormatting>
  <conditionalFormatting sqref="H10">
    <cfRule type="expression" dxfId="39" priority="9">
      <formula>IF($F$9=1,1,0)</formula>
    </cfRule>
  </conditionalFormatting>
  <conditionalFormatting sqref="E69:N69">
    <cfRule type="expression" dxfId="38" priority="6">
      <formula>IF(E$64&lt;=$F$62,1,0)</formula>
    </cfRule>
  </conditionalFormatting>
  <conditionalFormatting sqref="E69:N69">
    <cfRule type="expression" dxfId="37" priority="5">
      <formula>IF(E$64&gt;$F$62,1,0)</formula>
    </cfRule>
  </conditionalFormatting>
  <conditionalFormatting sqref="E25">
    <cfRule type="expression" dxfId="36" priority="4">
      <formula>IF(E$20&lt;=$F$18,1,0)</formula>
    </cfRule>
  </conditionalFormatting>
  <conditionalFormatting sqref="E25">
    <cfRule type="expression" dxfId="35" priority="3">
      <formula>IF(E$20&gt;$F$18,1,0)</formula>
    </cfRule>
  </conditionalFormatting>
  <conditionalFormatting sqref="E24">
    <cfRule type="expression" dxfId="34" priority="2">
      <formula>IF(E$20&lt;=$F$18,1,0)</formula>
    </cfRule>
  </conditionalFormatting>
  <conditionalFormatting sqref="E24">
    <cfRule type="expression" dxfId="33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6 E22:F22 I22:N22 F52 F62 G24:N24 G70:N70 E32:N34 E69:N69 F25:N25 E58:N60 F57:N57" unlockedFormula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551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Jülich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2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9">
        <v>2</v>
      </c>
      <c r="G10" s="57"/>
      <c r="H10" s="172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6">
        <f>INDEX('SLP-Verfahren'!D48:D62,'SLP-Temp-Gebiet #02'!F10)</f>
        <v>0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3" t="s">
        <v>591</v>
      </c>
      <c r="D13" s="343"/>
      <c r="E13" s="343"/>
      <c r="F13" s="183" t="s">
        <v>555</v>
      </c>
      <c r="G13" s="131" t="s">
        <v>553</v>
      </c>
      <c r="H13" s="265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4" t="s">
        <v>452</v>
      </c>
      <c r="D14" s="344"/>
      <c r="E14" s="90" t="s">
        <v>453</v>
      </c>
      <c r="F14" s="266" t="s">
        <v>85</v>
      </c>
      <c r="G14" s="267" t="s">
        <v>579</v>
      </c>
      <c r="H14" s="51">
        <v>0</v>
      </c>
      <c r="I14" s="57"/>
      <c r="J14" s="131"/>
      <c r="K14" s="131"/>
      <c r="L14" s="131"/>
      <c r="M14" s="131"/>
      <c r="N14" s="131"/>
      <c r="O14" s="173" t="s">
        <v>534</v>
      </c>
      <c r="R14" s="209" t="s">
        <v>571</v>
      </c>
      <c r="S14" s="209" t="s">
        <v>572</v>
      </c>
      <c r="T14" s="209" t="s">
        <v>573</v>
      </c>
      <c r="U14" s="209" t="s">
        <v>574</v>
      </c>
      <c r="V14" s="209" t="s">
        <v>554</v>
      </c>
      <c r="W14" s="209" t="s">
        <v>575</v>
      </c>
      <c r="X14" s="209" t="s">
        <v>576</v>
      </c>
      <c r="Y14" s="209" t="s">
        <v>577</v>
      </c>
      <c r="Z14" s="209" t="s">
        <v>578</v>
      </c>
      <c r="AA14" s="209" t="s">
        <v>579</v>
      </c>
      <c r="AB14" s="209" t="s">
        <v>580</v>
      </c>
      <c r="AC14" s="209" t="s">
        <v>581</v>
      </c>
    </row>
    <row r="15" spans="1:56" ht="19.5" customHeight="1">
      <c r="B15" s="131"/>
      <c r="C15" s="344" t="s">
        <v>389</v>
      </c>
      <c r="D15" s="344"/>
      <c r="E15" s="90" t="s">
        <v>453</v>
      </c>
      <c r="F15" s="266" t="s">
        <v>71</v>
      </c>
      <c r="G15" s="267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498</v>
      </c>
      <c r="AI15" s="264" t="s">
        <v>556</v>
      </c>
      <c r="AJ15" s="264" t="s">
        <v>557</v>
      </c>
      <c r="AK15" s="264" t="s">
        <v>558</v>
      </c>
      <c r="AL15" s="264" t="s">
        <v>559</v>
      </c>
      <c r="AM15" s="264" t="s">
        <v>560</v>
      </c>
      <c r="AN15" s="264" t="s">
        <v>561</v>
      </c>
      <c r="AO15" s="264" t="s">
        <v>562</v>
      </c>
      <c r="AP15" s="264" t="s">
        <v>563</v>
      </c>
      <c r="AQ15" s="264" t="s">
        <v>564</v>
      </c>
      <c r="AR15" s="264" t="s">
        <v>565</v>
      </c>
      <c r="AS15" s="264" t="s">
        <v>566</v>
      </c>
      <c r="AT15" s="264" t="s">
        <v>567</v>
      </c>
      <c r="AU15" s="264" t="s">
        <v>568</v>
      </c>
      <c r="AV15" s="264" t="s">
        <v>569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301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524</v>
      </c>
      <c r="C17" s="177"/>
      <c r="D17" s="30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530</v>
      </c>
      <c r="D18" s="131"/>
      <c r="E18" s="131"/>
      <c r="F18" s="49">
        <v>2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525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532</v>
      </c>
      <c r="D21" s="154" t="s">
        <v>522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544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527</v>
      </c>
      <c r="D24" s="188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5" t="s">
        <v>528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533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540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5" t="s">
        <v>142</v>
      </c>
      <c r="Q35" s="211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538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537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543</v>
      </c>
      <c r="D46" s="201" t="s">
        <v>541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541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586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2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525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532</v>
      </c>
      <c r="D55" s="154" t="s">
        <v>522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544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527</v>
      </c>
      <c r="D58" s="188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5" t="s">
        <v>528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533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540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5" t="s">
        <v>142</v>
      </c>
    </row>
    <row r="69" spans="2:15">
      <c r="B69" s="183"/>
      <c r="C69" s="187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5" t="s">
        <v>142</v>
      </c>
    </row>
    <row r="70" spans="2:15">
      <c r="B70" s="183"/>
      <c r="C70" s="192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5" t="s">
        <v>142</v>
      </c>
    </row>
    <row r="71" spans="2:15"/>
    <row r="72" spans="2:15" ht="15.75" customHeight="1">
      <c r="C72" s="345" t="s">
        <v>587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2" priority="18">
      <formula>IF(E$20&lt;=$F$18,1,0)</formula>
    </cfRule>
  </conditionalFormatting>
  <conditionalFormatting sqref="E32:N36">
    <cfRule type="expression" dxfId="31" priority="17">
      <formula>IF(E$30&lt;=$F$28,1,0)</formula>
    </cfRule>
  </conditionalFormatting>
  <conditionalFormatting sqref="E26:F26">
    <cfRule type="expression" dxfId="30" priority="16">
      <formula>IF(E$20&lt;=$F$18,1,0)</formula>
    </cfRule>
  </conditionalFormatting>
  <conditionalFormatting sqref="E26:N26">
    <cfRule type="expression" dxfId="29" priority="15">
      <formula>IF(E$20&lt;=$F$18,1,0)</formula>
    </cfRule>
  </conditionalFormatting>
  <conditionalFormatting sqref="E56:N59">
    <cfRule type="expression" dxfId="28" priority="14">
      <formula>IF(E$54&lt;=$F$52,1,0)</formula>
    </cfRule>
  </conditionalFormatting>
  <conditionalFormatting sqref="E60:N60">
    <cfRule type="expression" dxfId="27" priority="13">
      <formula>IF(E$54&lt;=$F$52,1,0)</formula>
    </cfRule>
  </conditionalFormatting>
  <conditionalFormatting sqref="E66:N68">
    <cfRule type="expression" dxfId="26" priority="12">
      <formula>IF(E$64&lt;=$F$62,1,0)</formula>
    </cfRule>
  </conditionalFormatting>
  <conditionalFormatting sqref="E65:N68 E70:N70">
    <cfRule type="expression" dxfId="25" priority="11">
      <formula>IF(E$64&gt;$F$62,1,0)</formula>
    </cfRule>
  </conditionalFormatting>
  <conditionalFormatting sqref="E56:N60">
    <cfRule type="expression" dxfId="24" priority="10">
      <formula>IF(E$54&gt;$F$52,1,0)</formula>
    </cfRule>
  </conditionalFormatting>
  <conditionalFormatting sqref="E21:N26">
    <cfRule type="expression" dxfId="23" priority="9">
      <formula>IF(E$20&gt;$F$18,1,0)</formula>
    </cfRule>
  </conditionalFormatting>
  <conditionalFormatting sqref="E32:N36">
    <cfRule type="expression" dxfId="22" priority="8">
      <formula>IF(E$30&gt;$F$28,1,0)</formula>
    </cfRule>
  </conditionalFormatting>
  <conditionalFormatting sqref="H11 H8:H9">
    <cfRule type="expression" dxfId="21" priority="7">
      <formula>IF($F$9=1,1,0)</formula>
    </cfRule>
  </conditionalFormatting>
  <conditionalFormatting sqref="E55:N55">
    <cfRule type="expression" dxfId="20" priority="6">
      <formula>IF(E$54&gt;$F$52,1,0)</formula>
    </cfRule>
  </conditionalFormatting>
  <conditionalFormatting sqref="E31:N31">
    <cfRule type="expression" dxfId="19" priority="5">
      <formula>IF(E$30&gt;$F$28,1,0)</formula>
    </cfRule>
  </conditionalFormatting>
  <conditionalFormatting sqref="E70:N70">
    <cfRule type="expression" dxfId="18" priority="4">
      <formula>IF(E$64&lt;=$F$62,1,0)</formula>
    </cfRule>
  </conditionalFormatting>
  <conditionalFormatting sqref="H10">
    <cfRule type="expression" dxfId="17" priority="3">
      <formula>IF($F$9=1,1,0)</formula>
    </cfRule>
  </conditionalFormatting>
  <conditionalFormatting sqref="E69:N69">
    <cfRule type="expression" dxfId="16" priority="2">
      <formula>IF(E$64&lt;=$F$62,1,0)</formula>
    </cfRule>
  </conditionalFormatting>
  <conditionalFormatting sqref="E69:N69">
    <cfRule type="expression" dxfId="15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topLeftCell="A6" zoomScale="80" zoomScaleNormal="80" workbookViewId="0">
      <selection activeCell="F14" sqref="F14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Jülich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Stadtwerke Jülich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 t="str">
        <f>Netzbetreiber!$D$11</f>
        <v>9870106800005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41275</v>
      </c>
      <c r="E8" s="131"/>
      <c r="F8" s="131"/>
      <c r="H8" s="129" t="s">
        <v>500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7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5" t="s">
        <v>655</v>
      </c>
    </row>
    <row r="11" spans="2:26" ht="15.75" thickBot="1">
      <c r="B11" s="140" t="s">
        <v>501</v>
      </c>
      <c r="C11" s="141" t="s">
        <v>516</v>
      </c>
      <c r="D11" s="304" t="s">
        <v>248</v>
      </c>
      <c r="E11" s="165" t="s">
        <v>523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2">
        <v>1</v>
      </c>
      <c r="C12" s="143" t="str">
        <f t="shared" ref="C12:C41" si="0">$D$6</f>
        <v>Stadtwerke Jülich</v>
      </c>
      <c r="D12" s="63" t="s">
        <v>684</v>
      </c>
      <c r="E12" s="166" t="s">
        <v>670</v>
      </c>
      <c r="F12" s="342" t="s">
        <v>685</v>
      </c>
      <c r="H12" s="278">
        <v>2.8053842000000002</v>
      </c>
      <c r="I12" s="278">
        <v>-33.183637400000002</v>
      </c>
      <c r="J12" s="278">
        <v>7.1810824999999996</v>
      </c>
      <c r="K12" s="278">
        <v>3.1E-2</v>
      </c>
      <c r="L12" s="279">
        <v>40</v>
      </c>
      <c r="M12" s="278">
        <v>0</v>
      </c>
      <c r="N12" s="278">
        <v>0</v>
      </c>
      <c r="O12" s="278">
        <v>0</v>
      </c>
      <c r="P12" s="278">
        <v>0</v>
      </c>
      <c r="Q12" s="280">
        <f t="shared" ref="Q12:Q26" si="1">($H12/(1+($I12/($Q$9-$L12))^$J12)+$K12)+MAX($M12*$Q$9+$N12,$O12*$Q$9+$P12)</f>
        <v>1.2517941687650853</v>
      </c>
      <c r="R12" s="281">
        <v>1</v>
      </c>
      <c r="S12" s="281">
        <v>1</v>
      </c>
      <c r="T12" s="281">
        <v>1</v>
      </c>
      <c r="U12" s="281">
        <v>1</v>
      </c>
      <c r="V12" s="281">
        <v>1</v>
      </c>
      <c r="W12" s="281">
        <v>1</v>
      </c>
      <c r="X12" s="282">
        <v>1</v>
      </c>
      <c r="Y12" s="303"/>
      <c r="Z12" s="212"/>
    </row>
    <row r="13" spans="2:26" s="144" customFormat="1">
      <c r="B13" s="145">
        <v>2</v>
      </c>
      <c r="C13" s="146" t="str">
        <f t="shared" si="0"/>
        <v>Stadtwerke Jülich</v>
      </c>
      <c r="D13" s="63" t="s">
        <v>684</v>
      </c>
      <c r="E13" s="166" t="s">
        <v>671</v>
      </c>
      <c r="F13" s="342" t="s">
        <v>686</v>
      </c>
      <c r="H13" s="278">
        <v>2.3987552000000001</v>
      </c>
      <c r="I13" s="278">
        <v>-34.123487799999999</v>
      </c>
      <c r="J13" s="278">
        <v>5.9996445999999999</v>
      </c>
      <c r="K13" s="278">
        <v>8.1674800000000006E-2</v>
      </c>
      <c r="L13" s="279">
        <v>40</v>
      </c>
      <c r="M13" s="278">
        <v>0</v>
      </c>
      <c r="N13" s="278">
        <v>0</v>
      </c>
      <c r="O13" s="278">
        <v>0</v>
      </c>
      <c r="P13" s="278">
        <v>0</v>
      </c>
      <c r="Q13" s="280">
        <f t="shared" si="1"/>
        <v>1.0527064997840663</v>
      </c>
      <c r="R13" s="281">
        <v>1</v>
      </c>
      <c r="S13" s="281">
        <v>1</v>
      </c>
      <c r="T13" s="281">
        <v>1</v>
      </c>
      <c r="U13" s="281">
        <v>1</v>
      </c>
      <c r="V13" s="281">
        <v>1</v>
      </c>
      <c r="W13" s="281">
        <v>1</v>
      </c>
      <c r="X13" s="282">
        <v>1</v>
      </c>
      <c r="Y13" s="303"/>
      <c r="Z13" s="212"/>
    </row>
    <row r="14" spans="2:26" s="144" customFormat="1">
      <c r="B14" s="145">
        <v>3</v>
      </c>
      <c r="C14" s="146" t="str">
        <f t="shared" si="0"/>
        <v>Stadtwerke Jülich</v>
      </c>
      <c r="D14" s="63" t="s">
        <v>248</v>
      </c>
      <c r="E14" s="166" t="s">
        <v>4</v>
      </c>
      <c r="F14" s="307" t="str">
        <f>VLOOKUP($E14,'[1]BDEW-Standard'!$B$3:$M$94,F$9,0)</f>
        <v>HK3</v>
      </c>
      <c r="H14" s="278">
        <f>ROUND(VLOOKUP($E14,'BDEW-Standard'!$B$3:$M$94,H$9,0),7)</f>
        <v>0.40409319999999999</v>
      </c>
      <c r="I14" s="278">
        <f>ROUND(VLOOKUP($E14,'BDEW-Standard'!$B$3:$M$94,I$9,0),7)</f>
        <v>-24.439296800000001</v>
      </c>
      <c r="J14" s="278">
        <f>ROUND(VLOOKUP($E14,'BDEW-Standard'!$B$3:$M$94,J$9,0),7)</f>
        <v>6.5718174999999999</v>
      </c>
      <c r="K14" s="278">
        <f>ROUND(VLOOKUP($E14,'BDEW-Standard'!$B$3:$M$94,K$9,0),7)</f>
        <v>0.71077100000000004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1.0561214000512988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ref="X14:X26" si="2">7-SUM(R14:W14)</f>
        <v>1</v>
      </c>
      <c r="Y14" s="303"/>
      <c r="Z14" s="212"/>
    </row>
    <row r="15" spans="2:26" s="144" customFormat="1">
      <c r="B15" s="145">
        <v>4</v>
      </c>
      <c r="C15" s="146" t="str">
        <f t="shared" si="0"/>
        <v>Stadtwerke Jülich</v>
      </c>
      <c r="D15" s="63" t="s">
        <v>248</v>
      </c>
      <c r="E15" s="166" t="s">
        <v>672</v>
      </c>
      <c r="F15" s="307" t="str">
        <f>VLOOKUP($E15,'[1]BDEW-Standard'!$B$3:$M$94,F$9,0)</f>
        <v>MK4</v>
      </c>
      <c r="H15" s="278">
        <f>ROUND(VLOOKUP($E15,'BDEW-Standard'!$B$3:$M$94,H$9,0),7)</f>
        <v>3.1177248</v>
      </c>
      <c r="I15" s="278">
        <f>ROUND(VLOOKUP($E15,'BDEW-Standard'!$B$3:$M$94,I$9,0),7)</f>
        <v>-35.871506199999999</v>
      </c>
      <c r="J15" s="278">
        <f>ROUND(VLOOKUP($E15,'BDEW-Standard'!$B$3:$M$94,J$9,0),7)</f>
        <v>7.5186828999999999</v>
      </c>
      <c r="K15" s="278">
        <f>ROUND(VLOOKUP($E15,'BDEW-Standard'!$B$3:$M$94,K$9,0),7)</f>
        <v>3.4330100000000002E-2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0.9622064996731321</v>
      </c>
      <c r="R15" s="281">
        <f>ROUND(VLOOKUP(MID($E15,4,3),'Wochentag F(WT)'!$B$7:$J$22,R$9,0),4)</f>
        <v>1.0699000000000001</v>
      </c>
      <c r="S15" s="281">
        <f>ROUND(VLOOKUP(MID($E15,4,3),'Wochentag F(WT)'!$B$7:$J$22,S$9,0),4)</f>
        <v>1.0365</v>
      </c>
      <c r="T15" s="281">
        <f>ROUND(VLOOKUP(MID($E15,4,3),'Wochentag F(WT)'!$B$7:$J$22,T$9,0),4)</f>
        <v>0.99329999999999996</v>
      </c>
      <c r="U15" s="281">
        <f>ROUND(VLOOKUP(MID($E15,4,3),'Wochentag F(WT)'!$B$7:$J$22,U$9,0),4)</f>
        <v>0.99480000000000002</v>
      </c>
      <c r="V15" s="281">
        <f>ROUND(VLOOKUP(MID($E15,4,3),'Wochentag F(WT)'!$B$7:$J$22,V$9,0),4)</f>
        <v>1.0659000000000001</v>
      </c>
      <c r="W15" s="281">
        <f>ROUND(VLOOKUP(MID($E15,4,3),'Wochentag F(WT)'!$B$7:$J$22,W$9,0),4)</f>
        <v>0.93620000000000003</v>
      </c>
      <c r="X15" s="282">
        <f t="shared" si="2"/>
        <v>0.90339999999999954</v>
      </c>
      <c r="Y15" s="303"/>
      <c r="Z15" s="212"/>
    </row>
    <row r="16" spans="2:26" s="144" customFormat="1">
      <c r="B16" s="145">
        <v>5</v>
      </c>
      <c r="C16" s="146" t="str">
        <f t="shared" si="0"/>
        <v>Stadtwerke Jülich</v>
      </c>
      <c r="D16" s="63" t="s">
        <v>248</v>
      </c>
      <c r="E16" s="166" t="s">
        <v>673</v>
      </c>
      <c r="F16" s="307" t="str">
        <f>VLOOKUP($E16,'[1]BDEW-Standard'!$B$3:$M$94,F$9,0)</f>
        <v>HA4</v>
      </c>
      <c r="H16" s="278">
        <f>ROUND(VLOOKUP($E16,'BDEW-Standard'!$B$3:$M$94,H$9,0),7)</f>
        <v>4.0196902000000003</v>
      </c>
      <c r="I16" s="278">
        <f>ROUND(VLOOKUP($E16,'BDEW-Standard'!$B$3:$M$94,I$9,0),7)</f>
        <v>-37.828203700000003</v>
      </c>
      <c r="J16" s="278">
        <f>ROUND(VLOOKUP($E16,'BDEW-Standard'!$B$3:$M$94,J$9,0),7)</f>
        <v>8.1593368999999996</v>
      </c>
      <c r="K16" s="278">
        <f>ROUND(VLOOKUP($E16,'BDEW-Standard'!$B$3:$M$94,K$9,0),7)</f>
        <v>4.72845E-2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0.86486713303260787</v>
      </c>
      <c r="R16" s="281">
        <f>ROUND(VLOOKUP(MID($E16,4,3),'Wochentag F(WT)'!$B$7:$J$22,R$9,0),4)</f>
        <v>1.0358000000000001</v>
      </c>
      <c r="S16" s="281">
        <f>ROUND(VLOOKUP(MID($E16,4,3),'Wochentag F(WT)'!$B$7:$J$22,S$9,0),4)</f>
        <v>1.0232000000000001</v>
      </c>
      <c r="T16" s="281">
        <f>ROUND(VLOOKUP(MID($E16,4,3),'Wochentag F(WT)'!$B$7:$J$22,T$9,0),4)</f>
        <v>1.0251999999999999</v>
      </c>
      <c r="U16" s="281">
        <f>ROUND(VLOOKUP(MID($E16,4,3),'Wochentag F(WT)'!$B$7:$J$22,U$9,0),4)</f>
        <v>1.0295000000000001</v>
      </c>
      <c r="V16" s="281">
        <f>ROUND(VLOOKUP(MID($E16,4,3),'Wochentag F(WT)'!$B$7:$J$22,V$9,0),4)</f>
        <v>1.0253000000000001</v>
      </c>
      <c r="W16" s="281">
        <f>ROUND(VLOOKUP(MID($E16,4,3),'Wochentag F(WT)'!$B$7:$J$22,W$9,0),4)</f>
        <v>0.96750000000000003</v>
      </c>
      <c r="X16" s="282">
        <f t="shared" si="2"/>
        <v>0.89350000000000041</v>
      </c>
      <c r="Y16" s="303"/>
      <c r="Z16" s="212"/>
    </row>
    <row r="17" spans="2:26" s="144" customFormat="1">
      <c r="B17" s="145">
        <v>6</v>
      </c>
      <c r="C17" s="146" t="str">
        <f t="shared" si="0"/>
        <v>Stadtwerke Jülich</v>
      </c>
      <c r="D17" s="63" t="s">
        <v>248</v>
      </c>
      <c r="E17" s="166" t="s">
        <v>674</v>
      </c>
      <c r="F17" s="307" t="str">
        <f>VLOOKUP($E17,'[1]BDEW-Standard'!$B$3:$M$94,F$9,0)</f>
        <v>KO4</v>
      </c>
      <c r="H17" s="278">
        <f>ROUND(VLOOKUP($E17,'BDEW-Standard'!$B$3:$M$94,H$9,0),7)</f>
        <v>3.4428942999999999</v>
      </c>
      <c r="I17" s="278">
        <f>ROUND(VLOOKUP($E17,'BDEW-Standard'!$B$3:$M$94,I$9,0),7)</f>
        <v>-36.659050399999998</v>
      </c>
      <c r="J17" s="278">
        <f>ROUND(VLOOKUP($E17,'BDEW-Standard'!$B$3:$M$94,J$9,0),7)</f>
        <v>7.6083226000000002</v>
      </c>
      <c r="K17" s="278">
        <f>ROUND(VLOOKUP($E17,'BDEW-Standard'!$B$3:$M$94,K$9,0),7)</f>
        <v>7.4685000000000001E-2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0.97768382110526542</v>
      </c>
      <c r="R17" s="281">
        <f>ROUND(VLOOKUP(MID($E17,4,3),'Wochentag F(WT)'!$B$7:$J$22,R$9,0),4)</f>
        <v>1.0354000000000001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1.0448999999999999</v>
      </c>
      <c r="U17" s="281">
        <f>ROUND(VLOOKUP(MID($E17,4,3),'Wochentag F(WT)'!$B$7:$J$22,U$9,0),4)</f>
        <v>1.0494000000000001</v>
      </c>
      <c r="V17" s="281">
        <f>ROUND(VLOOKUP(MID($E17,4,3),'Wochentag F(WT)'!$B$7:$J$22,V$9,0),4)</f>
        <v>0.98850000000000005</v>
      </c>
      <c r="W17" s="281">
        <f>ROUND(VLOOKUP(MID($E17,4,3),'Wochentag F(WT)'!$B$7:$J$22,W$9,0),4)</f>
        <v>0.88600000000000001</v>
      </c>
      <c r="X17" s="282">
        <f t="shared" si="2"/>
        <v>0.94349999999999934</v>
      </c>
      <c r="Y17" s="303"/>
      <c r="Z17" s="212"/>
    </row>
    <row r="18" spans="2:26" s="144" customFormat="1">
      <c r="B18" s="145">
        <v>7</v>
      </c>
      <c r="C18" s="146" t="str">
        <f t="shared" si="0"/>
        <v>Stadtwerke Jülich</v>
      </c>
      <c r="D18" s="63" t="s">
        <v>248</v>
      </c>
      <c r="E18" s="166" t="s">
        <v>675</v>
      </c>
      <c r="F18" s="307" t="str">
        <f>VLOOKUP($E18,'[1]BDEW-Standard'!$B$3:$M$94,F$9,0)</f>
        <v>BD4</v>
      </c>
      <c r="H18" s="278">
        <f>ROUND(VLOOKUP($E18,'BDEW-Standard'!$B$3:$M$94,H$9,0),7)</f>
        <v>3.75</v>
      </c>
      <c r="I18" s="278">
        <f>ROUND(VLOOKUP($E18,'BDEW-Standard'!$B$3:$M$94,I$9,0),7)</f>
        <v>-37.5</v>
      </c>
      <c r="J18" s="278">
        <f>ROUND(VLOOKUP($E18,'BDEW-Standard'!$B$3:$M$94,J$9,0),7)</f>
        <v>6.8</v>
      </c>
      <c r="K18" s="278">
        <f>ROUND(VLOOKUP($E18,'BDEW-Standard'!$B$3:$M$94,K$9,0),7)</f>
        <v>6.0911300000000002E-2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1.0126136468627658</v>
      </c>
      <c r="R18" s="281">
        <f>ROUND(VLOOKUP(MID($E18,4,3),'Wochentag F(WT)'!$B$7:$J$22,R$9,0),4)</f>
        <v>1.1052</v>
      </c>
      <c r="S18" s="281">
        <f>ROUND(VLOOKUP(MID($E18,4,3),'Wochentag F(WT)'!$B$7:$J$22,S$9,0),4)</f>
        <v>1.0857000000000001</v>
      </c>
      <c r="T18" s="281">
        <f>ROUND(VLOOKUP(MID($E18,4,3),'Wochentag F(WT)'!$B$7:$J$22,T$9,0),4)</f>
        <v>1.0378000000000001</v>
      </c>
      <c r="U18" s="281">
        <f>ROUND(VLOOKUP(MID($E18,4,3),'Wochentag F(WT)'!$B$7:$J$22,U$9,0),4)</f>
        <v>1.0622</v>
      </c>
      <c r="V18" s="281">
        <f>ROUND(VLOOKUP(MID($E18,4,3),'Wochentag F(WT)'!$B$7:$J$22,V$9,0),4)</f>
        <v>1.0266</v>
      </c>
      <c r="W18" s="281">
        <f>ROUND(VLOOKUP(MID($E18,4,3),'Wochentag F(WT)'!$B$7:$J$22,W$9,0),4)</f>
        <v>0.76290000000000002</v>
      </c>
      <c r="X18" s="282">
        <f t="shared" si="2"/>
        <v>0.91959999999999997</v>
      </c>
      <c r="Y18" s="303"/>
      <c r="Z18" s="212"/>
    </row>
    <row r="19" spans="2:26" s="144" customFormat="1">
      <c r="B19" s="145">
        <v>8</v>
      </c>
      <c r="C19" s="146" t="str">
        <f t="shared" si="0"/>
        <v>Stadtwerke Jülich</v>
      </c>
      <c r="D19" s="63" t="s">
        <v>248</v>
      </c>
      <c r="E19" s="166" t="s">
        <v>676</v>
      </c>
      <c r="F19" s="307" t="str">
        <f>VLOOKUP($E19,'[1]BDEW-Standard'!$B$3:$M$94,F$9,0)</f>
        <v>GA4</v>
      </c>
      <c r="H19" s="278">
        <f>ROUND(VLOOKUP($E19,'BDEW-Standard'!$B$3:$M$94,H$9,0),7)</f>
        <v>2.8195655999999998</v>
      </c>
      <c r="I19" s="278">
        <f>ROUND(VLOOKUP($E19,'BDEW-Standard'!$B$3:$M$94,I$9,0),7)</f>
        <v>-36</v>
      </c>
      <c r="J19" s="278">
        <f>ROUND(VLOOKUP($E19,'BDEW-Standard'!$B$3:$M$94,J$9,0),7)</f>
        <v>7.7368518000000002</v>
      </c>
      <c r="K19" s="278">
        <f>ROUND(VLOOKUP($E19,'BDEW-Standard'!$B$3:$M$94,K$9,0),7)</f>
        <v>0.157281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0.96576337685759206</v>
      </c>
      <c r="R19" s="281">
        <f>ROUND(VLOOKUP(MID($E19,4,3),'Wochentag F(WT)'!$B$7:$J$22,R$9,0),4)</f>
        <v>0.93220000000000003</v>
      </c>
      <c r="S19" s="281">
        <f>ROUND(VLOOKUP(MID($E19,4,3),'Wochentag F(WT)'!$B$7:$J$22,S$9,0),4)</f>
        <v>0.98939999999999995</v>
      </c>
      <c r="T19" s="281">
        <f>ROUND(VLOOKUP(MID($E19,4,3),'Wochentag F(WT)'!$B$7:$J$22,T$9,0),4)</f>
        <v>1.0033000000000001</v>
      </c>
      <c r="U19" s="281">
        <f>ROUND(VLOOKUP(MID($E19,4,3),'Wochentag F(WT)'!$B$7:$J$22,U$9,0),4)</f>
        <v>1.0108999999999999</v>
      </c>
      <c r="V19" s="281">
        <f>ROUND(VLOOKUP(MID($E19,4,3),'Wochentag F(WT)'!$B$7:$J$22,V$9,0),4)</f>
        <v>1.018</v>
      </c>
      <c r="W19" s="281">
        <f>ROUND(VLOOKUP(MID($E19,4,3),'Wochentag F(WT)'!$B$7:$J$22,W$9,0),4)</f>
        <v>1.0356000000000001</v>
      </c>
      <c r="X19" s="282">
        <f t="shared" si="2"/>
        <v>1.0106000000000002</v>
      </c>
      <c r="Y19" s="303"/>
      <c r="Z19" s="212"/>
    </row>
    <row r="20" spans="2:26" s="144" customFormat="1">
      <c r="B20" s="145">
        <v>9</v>
      </c>
      <c r="C20" s="146" t="str">
        <f t="shared" si="0"/>
        <v>Stadtwerke Jülich</v>
      </c>
      <c r="D20" s="63" t="s">
        <v>248</v>
      </c>
      <c r="E20" s="166" t="s">
        <v>677</v>
      </c>
      <c r="F20" s="307" t="str">
        <f>VLOOKUP($E20,'[1]BDEW-Standard'!$B$3:$M$94,F$9,0)</f>
        <v>BH4</v>
      </c>
      <c r="H20" s="278">
        <f>ROUND(VLOOKUP($E20,'BDEW-Standard'!$B$3:$M$94,H$9,0),7)</f>
        <v>2.4595180999999999</v>
      </c>
      <c r="I20" s="278">
        <f>ROUND(VLOOKUP($E20,'BDEW-Standard'!$B$3:$M$94,I$9,0),7)</f>
        <v>-35.253212400000002</v>
      </c>
      <c r="J20" s="278">
        <f>ROUND(VLOOKUP($E20,'BDEW-Standard'!$B$3:$M$94,J$9,0),7)</f>
        <v>6.0587001000000003</v>
      </c>
      <c r="K20" s="278">
        <f>ROUND(VLOOKUP($E20,'BDEW-Standard'!$B$3:$M$94,K$9,0),7)</f>
        <v>0.16473699999999999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1.043802057143173</v>
      </c>
      <c r="R20" s="281">
        <f>ROUND(VLOOKUP(MID($E20,4,3),'Wochentag F(WT)'!$B$7:$J$22,R$9,0),4)</f>
        <v>0.97670000000000001</v>
      </c>
      <c r="S20" s="281">
        <f>ROUND(VLOOKUP(MID($E20,4,3),'Wochentag F(WT)'!$B$7:$J$22,S$9,0),4)</f>
        <v>1.0388999999999999</v>
      </c>
      <c r="T20" s="281">
        <f>ROUND(VLOOKUP(MID($E20,4,3),'Wochentag F(WT)'!$B$7:$J$22,T$9,0),4)</f>
        <v>1.0027999999999999</v>
      </c>
      <c r="U20" s="281">
        <f>ROUND(VLOOKUP(MID($E20,4,3),'Wochentag F(WT)'!$B$7:$J$22,U$9,0),4)</f>
        <v>1.0162</v>
      </c>
      <c r="V20" s="281">
        <f>ROUND(VLOOKUP(MID($E20,4,3),'Wochentag F(WT)'!$B$7:$J$22,V$9,0),4)</f>
        <v>1.0024</v>
      </c>
      <c r="W20" s="281">
        <f>ROUND(VLOOKUP(MID($E20,4,3),'Wochentag F(WT)'!$B$7:$J$22,W$9,0),4)</f>
        <v>1.0043</v>
      </c>
      <c r="X20" s="282">
        <f t="shared" si="2"/>
        <v>0.95870000000000122</v>
      </c>
      <c r="Y20" s="303"/>
      <c r="Z20" s="212"/>
    </row>
    <row r="21" spans="2:26" s="144" customFormat="1">
      <c r="B21" s="145">
        <v>10</v>
      </c>
      <c r="C21" s="146" t="str">
        <f t="shared" si="0"/>
        <v>Stadtwerke Jülich</v>
      </c>
      <c r="D21" s="63" t="s">
        <v>248</v>
      </c>
      <c r="E21" s="166" t="s">
        <v>678</v>
      </c>
      <c r="F21" s="307" t="str">
        <f>VLOOKUP($E21,'[1]BDEW-Standard'!$B$3:$M$94,F$9,0)</f>
        <v>WA4</v>
      </c>
      <c r="H21" s="278">
        <f>ROUND(VLOOKUP($E21,'BDEW-Standard'!$B$3:$M$94,H$9,0),7)</f>
        <v>1.0535874999999999</v>
      </c>
      <c r="I21" s="278">
        <f>ROUND(VLOOKUP($E21,'BDEW-Standard'!$B$3:$M$94,I$9,0),7)</f>
        <v>-35.299999999999997</v>
      </c>
      <c r="J21" s="278">
        <f>ROUND(VLOOKUP($E21,'BDEW-Standard'!$B$3:$M$94,J$9,0),7)</f>
        <v>4.8662747</v>
      </c>
      <c r="K21" s="278">
        <f>ROUND(VLOOKUP($E21,'BDEW-Standard'!$B$3:$M$94,K$9,0),7)</f>
        <v>0.68110420000000005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1.0844348950990992</v>
      </c>
      <c r="R21" s="281">
        <f>ROUND(VLOOKUP(MID($E21,4,3),'Wochentag F(WT)'!$B$7:$J$22,R$9,0),4)</f>
        <v>1.2457</v>
      </c>
      <c r="S21" s="281">
        <f>ROUND(VLOOKUP(MID($E21,4,3),'Wochentag F(WT)'!$B$7:$J$22,S$9,0),4)</f>
        <v>1.2615000000000001</v>
      </c>
      <c r="T21" s="281">
        <f>ROUND(VLOOKUP(MID($E21,4,3),'Wochentag F(WT)'!$B$7:$J$22,T$9,0),4)</f>
        <v>1.2706999999999999</v>
      </c>
      <c r="U21" s="281">
        <f>ROUND(VLOOKUP(MID($E21,4,3),'Wochentag F(WT)'!$B$7:$J$22,U$9,0),4)</f>
        <v>1.2430000000000001</v>
      </c>
      <c r="V21" s="281">
        <f>ROUND(VLOOKUP(MID($E21,4,3),'Wochentag F(WT)'!$B$7:$J$22,V$9,0),4)</f>
        <v>1.1275999999999999</v>
      </c>
      <c r="W21" s="281">
        <f>ROUND(VLOOKUP(MID($E21,4,3),'Wochentag F(WT)'!$B$7:$J$22,W$9,0),4)</f>
        <v>0.38769999999999999</v>
      </c>
      <c r="X21" s="282">
        <f t="shared" si="2"/>
        <v>0.46379999999999999</v>
      </c>
      <c r="Y21" s="303"/>
      <c r="Z21" s="212"/>
    </row>
    <row r="22" spans="2:26" s="144" customFormat="1">
      <c r="B22" s="145">
        <v>11</v>
      </c>
      <c r="C22" s="146" t="str">
        <f t="shared" si="0"/>
        <v>Stadtwerke Jülich</v>
      </c>
      <c r="D22" s="63" t="s">
        <v>248</v>
      </c>
      <c r="E22" s="166" t="s">
        <v>679</v>
      </c>
      <c r="F22" s="307" t="str">
        <f>VLOOKUP($E22,'[1]BDEW-Standard'!$B$3:$M$94,F$9,0)</f>
        <v>HD4</v>
      </c>
      <c r="H22" s="278">
        <f>ROUND(VLOOKUP($E22,'BDEW-Standard'!$B$3:$M$94,H$9,0),7)</f>
        <v>3.0084346000000002</v>
      </c>
      <c r="I22" s="278">
        <f>ROUND(VLOOKUP($E22,'BDEW-Standard'!$B$3:$M$94,I$9,0),7)</f>
        <v>-36.607845300000001</v>
      </c>
      <c r="J22" s="278">
        <f>ROUND(VLOOKUP($E22,'BDEW-Standard'!$B$3:$M$94,J$9,0),7)</f>
        <v>7.3211870000000001</v>
      </c>
      <c r="K22" s="278">
        <f>ROUND(VLOOKUP($E22,'BDEW-Standard'!$B$3:$M$94,K$9,0),7)</f>
        <v>0.15496599999999999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0.97302438504000599</v>
      </c>
      <c r="R22" s="281">
        <f>ROUND(VLOOKUP(MID($E22,4,3),'Wochentag F(WT)'!$B$7:$J$22,R$9,0),4)</f>
        <v>1.03</v>
      </c>
      <c r="S22" s="281">
        <f>ROUND(VLOOKUP(MID($E22,4,3),'Wochentag F(WT)'!$B$7:$J$22,S$9,0),4)</f>
        <v>1.03</v>
      </c>
      <c r="T22" s="281">
        <f>ROUND(VLOOKUP(MID($E22,4,3),'Wochentag F(WT)'!$B$7:$J$22,T$9,0),4)</f>
        <v>1.02</v>
      </c>
      <c r="U22" s="281">
        <f>ROUND(VLOOKUP(MID($E22,4,3),'Wochentag F(WT)'!$B$7:$J$22,U$9,0),4)</f>
        <v>1.03</v>
      </c>
      <c r="V22" s="281">
        <f>ROUND(VLOOKUP(MID($E22,4,3),'Wochentag F(WT)'!$B$7:$J$22,V$9,0),4)</f>
        <v>1.01</v>
      </c>
      <c r="W22" s="281">
        <f>ROUND(VLOOKUP(MID($E22,4,3),'Wochentag F(WT)'!$B$7:$J$22,W$9,0),4)</f>
        <v>0.93</v>
      </c>
      <c r="X22" s="282">
        <f t="shared" si="2"/>
        <v>0.95000000000000018</v>
      </c>
      <c r="Y22" s="303"/>
      <c r="Z22" s="212"/>
    </row>
    <row r="23" spans="2:26" s="144" customFormat="1">
      <c r="B23" s="145">
        <v>12</v>
      </c>
      <c r="C23" s="146" t="str">
        <f t="shared" si="0"/>
        <v>Stadtwerke Jülich</v>
      </c>
      <c r="D23" s="63" t="s">
        <v>248</v>
      </c>
      <c r="E23" s="166" t="s">
        <v>680</v>
      </c>
      <c r="F23" s="307" t="str">
        <f>VLOOKUP($E23,'[1]BDEW-Standard'!$B$3:$M$94,F$9,0)</f>
        <v>GB4</v>
      </c>
      <c r="H23" s="278">
        <f>ROUND(VLOOKUP($E23,'BDEW-Standard'!$B$3:$M$94,H$9,0),7)</f>
        <v>3.6017736</v>
      </c>
      <c r="I23" s="278">
        <f>ROUND(VLOOKUP($E23,'BDEW-Standard'!$B$3:$M$94,I$9,0),7)</f>
        <v>-37.882536799999997</v>
      </c>
      <c r="J23" s="278">
        <f>ROUND(VLOOKUP($E23,'BDEW-Standard'!$B$3:$M$94,J$9,0),7)</f>
        <v>6.9836070000000001</v>
      </c>
      <c r="K23" s="278">
        <f>ROUND(VLOOKUP($E23,'BDEW-Standard'!$B$3:$M$94,K$9,0),7)</f>
        <v>5.4826199999999999E-2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0.90239375975311864</v>
      </c>
      <c r="R23" s="281">
        <f>ROUND(VLOOKUP(MID($E23,4,3),'Wochentag F(WT)'!$B$7:$J$22,R$9,0),4)</f>
        <v>0.98970000000000002</v>
      </c>
      <c r="S23" s="281">
        <f>ROUND(VLOOKUP(MID($E23,4,3),'Wochentag F(WT)'!$B$7:$J$22,S$9,0),4)</f>
        <v>0.9627</v>
      </c>
      <c r="T23" s="281">
        <f>ROUND(VLOOKUP(MID($E23,4,3),'Wochentag F(WT)'!$B$7:$J$22,T$9,0),4)</f>
        <v>1.0507</v>
      </c>
      <c r="U23" s="281">
        <f>ROUND(VLOOKUP(MID($E23,4,3),'Wochentag F(WT)'!$B$7:$J$22,U$9,0),4)</f>
        <v>1.0551999999999999</v>
      </c>
      <c r="V23" s="281">
        <f>ROUND(VLOOKUP(MID($E23,4,3),'Wochentag F(WT)'!$B$7:$J$22,V$9,0),4)</f>
        <v>1.0297000000000001</v>
      </c>
      <c r="W23" s="281">
        <f>ROUND(VLOOKUP(MID($E23,4,3),'Wochentag F(WT)'!$B$7:$J$22,W$9,0),4)</f>
        <v>0.97670000000000001</v>
      </c>
      <c r="X23" s="282">
        <f t="shared" si="2"/>
        <v>0.9352999999999998</v>
      </c>
      <c r="Y23" s="303"/>
      <c r="Z23" s="212"/>
    </row>
    <row r="24" spans="2:26" s="144" customFormat="1">
      <c r="B24" s="145">
        <v>13</v>
      </c>
      <c r="C24" s="146" t="str">
        <f t="shared" si="0"/>
        <v>Stadtwerke Jülich</v>
      </c>
      <c r="D24" s="63" t="s">
        <v>248</v>
      </c>
      <c r="E24" s="166" t="s">
        <v>681</v>
      </c>
      <c r="F24" s="307" t="str">
        <f>VLOOKUP($E24,'[1]BDEW-Standard'!$B$3:$M$94,F$9,0)</f>
        <v>PD4</v>
      </c>
      <c r="H24" s="278">
        <f>ROUND(VLOOKUP($E24,'BDEW-Standard'!$B$3:$M$94,H$9,0),7)</f>
        <v>3.85</v>
      </c>
      <c r="I24" s="278">
        <f>ROUND(VLOOKUP($E24,'BDEW-Standard'!$B$3:$M$94,I$9,0),7)</f>
        <v>-37</v>
      </c>
      <c r="J24" s="278">
        <f>ROUND(VLOOKUP($E24,'BDEW-Standard'!$B$3:$M$94,J$9,0),7)</f>
        <v>10.2405021</v>
      </c>
      <c r="K24" s="278">
        <f>ROUND(VLOOKUP($E24,'BDEW-Standard'!$B$3:$M$94,K$9,0),7)</f>
        <v>4.6924300000000002E-2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0.75691065279879233</v>
      </c>
      <c r="R24" s="281">
        <f>ROUND(VLOOKUP(MID($E24,4,3),'Wochentag F(WT)'!$B$7:$J$22,R$9,0),4)</f>
        <v>1.0214000000000001</v>
      </c>
      <c r="S24" s="281">
        <f>ROUND(VLOOKUP(MID($E24,4,3),'Wochentag F(WT)'!$B$7:$J$22,S$9,0),4)</f>
        <v>1.0866</v>
      </c>
      <c r="T24" s="281">
        <f>ROUND(VLOOKUP(MID($E24,4,3),'Wochentag F(WT)'!$B$7:$J$22,T$9,0),4)</f>
        <v>1.0720000000000001</v>
      </c>
      <c r="U24" s="281">
        <f>ROUND(VLOOKUP(MID($E24,4,3),'Wochentag F(WT)'!$B$7:$J$22,U$9,0),4)</f>
        <v>1.0557000000000001</v>
      </c>
      <c r="V24" s="281">
        <f>ROUND(VLOOKUP(MID($E24,4,3),'Wochentag F(WT)'!$B$7:$J$22,V$9,0),4)</f>
        <v>1.0117</v>
      </c>
      <c r="W24" s="281">
        <f>ROUND(VLOOKUP(MID($E24,4,3),'Wochentag F(WT)'!$B$7:$J$22,W$9,0),4)</f>
        <v>0.90010000000000001</v>
      </c>
      <c r="X24" s="282">
        <f t="shared" si="2"/>
        <v>0.85249999999999915</v>
      </c>
      <c r="Y24" s="303"/>
      <c r="Z24" s="212"/>
    </row>
    <row r="25" spans="2:26" s="144" customFormat="1">
      <c r="B25" s="145">
        <v>14</v>
      </c>
      <c r="C25" s="146" t="str">
        <f t="shared" si="0"/>
        <v>Stadtwerke Jülich</v>
      </c>
      <c r="D25" s="63" t="s">
        <v>248</v>
      </c>
      <c r="E25" s="166" t="s">
        <v>682</v>
      </c>
      <c r="F25" s="307" t="str">
        <f>VLOOKUP($E25,'[1]BDEW-Standard'!$B$3:$M$94,F$9,0)</f>
        <v>BA4</v>
      </c>
      <c r="H25" s="278">
        <f>ROUND(VLOOKUP($E25,'BDEW-Standard'!$B$3:$M$94,H$9,0),7)</f>
        <v>0.93158890000000005</v>
      </c>
      <c r="I25" s="278">
        <f>ROUND(VLOOKUP($E25,'BDEW-Standard'!$B$3:$M$94,I$9,0),7)</f>
        <v>-33.35</v>
      </c>
      <c r="J25" s="278">
        <f>ROUND(VLOOKUP($E25,'BDEW-Standard'!$B$3:$M$94,J$9,0),7)</f>
        <v>5.7212303000000002</v>
      </c>
      <c r="K25" s="278">
        <f>ROUND(VLOOKUP($E25,'BDEW-Standard'!$B$3:$M$94,K$9,0),7)</f>
        <v>0.66564939999999995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1.0766391850538448</v>
      </c>
      <c r="R25" s="281">
        <f>ROUND(VLOOKUP(MID($E25,4,3),'Wochentag F(WT)'!$B$7:$J$22,R$9,0),4)</f>
        <v>1.0848</v>
      </c>
      <c r="S25" s="281">
        <f>ROUND(VLOOKUP(MID($E25,4,3),'Wochentag F(WT)'!$B$7:$J$22,S$9,0),4)</f>
        <v>1.1211</v>
      </c>
      <c r="T25" s="281">
        <f>ROUND(VLOOKUP(MID($E25,4,3),'Wochentag F(WT)'!$B$7:$J$22,T$9,0),4)</f>
        <v>1.0769</v>
      </c>
      <c r="U25" s="281">
        <f>ROUND(VLOOKUP(MID($E25,4,3),'Wochentag F(WT)'!$B$7:$J$22,U$9,0),4)</f>
        <v>1.1353</v>
      </c>
      <c r="V25" s="281">
        <f>ROUND(VLOOKUP(MID($E25,4,3),'Wochentag F(WT)'!$B$7:$J$22,V$9,0),4)</f>
        <v>1.1402000000000001</v>
      </c>
      <c r="W25" s="281">
        <f>ROUND(VLOOKUP(MID($E25,4,3),'Wochentag F(WT)'!$B$7:$J$22,W$9,0),4)</f>
        <v>0.48520000000000002</v>
      </c>
      <c r="X25" s="282">
        <f t="shared" si="2"/>
        <v>0.95650000000000013</v>
      </c>
      <c r="Y25" s="303"/>
      <c r="Z25" s="212"/>
    </row>
    <row r="26" spans="2:26" s="144" customFormat="1">
      <c r="B26" s="145">
        <v>15</v>
      </c>
      <c r="C26" s="146" t="str">
        <f t="shared" si="0"/>
        <v>Stadtwerke Jülich</v>
      </c>
      <c r="D26" s="63" t="s">
        <v>248</v>
      </c>
      <c r="E26" s="166" t="s">
        <v>683</v>
      </c>
      <c r="F26" s="307" t="str">
        <f>VLOOKUP($E26,'[1]BDEW-Standard'!$B$3:$M$94,F$9,0)</f>
        <v>MF4</v>
      </c>
      <c r="H26" s="278">
        <f>ROUND(VLOOKUP($E26,'BDEW-Standard'!$B$3:$M$94,H$9,0),7)</f>
        <v>2.5187775000000001</v>
      </c>
      <c r="I26" s="278">
        <f>ROUND(VLOOKUP($E26,'BDEW-Standard'!$B$3:$M$94,I$9,0),7)</f>
        <v>-35.033375399999997</v>
      </c>
      <c r="J26" s="278">
        <f>ROUND(VLOOKUP($E26,'BDEW-Standard'!$B$3:$M$94,J$9,0),7)</f>
        <v>6.2240634000000004</v>
      </c>
      <c r="K26" s="278">
        <f>ROUND(VLOOKUP($E26,'BDEW-Standard'!$B$3:$M$94,K$9,0),7)</f>
        <v>0.10107820000000001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1.0146273685996503</v>
      </c>
      <c r="R26" s="281">
        <f>ROUND(VLOOKUP(MID($E26,4,3),'Wochentag F(WT)'!$B$7:$J$22,R$9,0),4)</f>
        <v>1.0354000000000001</v>
      </c>
      <c r="S26" s="281">
        <f>ROUND(VLOOKUP(MID($E26,4,3),'Wochentag F(WT)'!$B$7:$J$22,S$9,0),4)</f>
        <v>1.0523</v>
      </c>
      <c r="T26" s="281">
        <f>ROUND(VLOOKUP(MID($E26,4,3),'Wochentag F(WT)'!$B$7:$J$22,T$9,0),4)</f>
        <v>1.0448999999999999</v>
      </c>
      <c r="U26" s="281">
        <f>ROUND(VLOOKUP(MID($E26,4,3),'Wochentag F(WT)'!$B$7:$J$22,U$9,0),4)</f>
        <v>1.0494000000000001</v>
      </c>
      <c r="V26" s="281">
        <f>ROUND(VLOOKUP(MID($E26,4,3),'Wochentag F(WT)'!$B$7:$J$22,V$9,0),4)</f>
        <v>0.98850000000000005</v>
      </c>
      <c r="W26" s="281">
        <f>ROUND(VLOOKUP(MID($E26,4,3),'Wochentag F(WT)'!$B$7:$J$22,W$9,0),4)</f>
        <v>0.88600000000000001</v>
      </c>
      <c r="X26" s="282">
        <f t="shared" si="2"/>
        <v>0.94349999999999934</v>
      </c>
      <c r="Y26" s="303"/>
      <c r="Z26" s="212"/>
    </row>
    <row r="27" spans="2:26" s="144" customFormat="1">
      <c r="B27" s="145">
        <v>16</v>
      </c>
      <c r="C27" s="146" t="str">
        <f t="shared" si="0"/>
        <v>Stadtwerke Jülich</v>
      </c>
      <c r="D27" s="63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4" customFormat="1">
      <c r="B28" s="145">
        <v>17</v>
      </c>
      <c r="C28" s="146" t="str">
        <f t="shared" si="0"/>
        <v>Stadtwerke Jülich</v>
      </c>
      <c r="D28" s="63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4" customFormat="1">
      <c r="B29" s="145">
        <v>18</v>
      </c>
      <c r="C29" s="146" t="str">
        <f t="shared" si="0"/>
        <v>Stadtwerke Jülich</v>
      </c>
      <c r="D29" s="63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4" customFormat="1">
      <c r="B30" s="145">
        <v>19</v>
      </c>
      <c r="C30" s="146" t="str">
        <f t="shared" si="0"/>
        <v>Stadtwerke Jülich</v>
      </c>
      <c r="D30" s="63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4" customFormat="1">
      <c r="B31" s="145">
        <v>20</v>
      </c>
      <c r="C31" s="146" t="str">
        <f t="shared" si="0"/>
        <v>Stadtwerke Jülich</v>
      </c>
      <c r="D31" s="63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4" customFormat="1">
      <c r="B32" s="145">
        <v>21</v>
      </c>
      <c r="C32" s="146" t="str">
        <f t="shared" si="0"/>
        <v>Stadtwerke Jülich</v>
      </c>
      <c r="D32" s="63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4" customFormat="1">
      <c r="B33" s="145">
        <v>22</v>
      </c>
      <c r="C33" s="146" t="str">
        <f t="shared" si="0"/>
        <v>Stadtwerke Jülich</v>
      </c>
      <c r="D33" s="63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4" customFormat="1">
      <c r="B34" s="145">
        <v>23</v>
      </c>
      <c r="C34" s="146" t="str">
        <f t="shared" si="0"/>
        <v>Stadtwerke Jülich</v>
      </c>
      <c r="D34" s="63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4" customFormat="1">
      <c r="B35" s="145">
        <v>24</v>
      </c>
      <c r="C35" s="146" t="str">
        <f t="shared" si="0"/>
        <v>Stadtwerke Jülich</v>
      </c>
      <c r="D35" s="63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4" customFormat="1">
      <c r="B36" s="145">
        <v>25</v>
      </c>
      <c r="C36" s="146" t="str">
        <f t="shared" si="0"/>
        <v>Stadtwerke Jülich</v>
      </c>
      <c r="D36" s="63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4" customFormat="1">
      <c r="B37" s="145">
        <v>26</v>
      </c>
      <c r="C37" s="146" t="str">
        <f t="shared" si="0"/>
        <v>Stadtwerke Jülich</v>
      </c>
      <c r="D37" s="63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4" customFormat="1">
      <c r="B38" s="145">
        <v>27</v>
      </c>
      <c r="C38" s="146" t="str">
        <f t="shared" si="0"/>
        <v>Stadtwerke Jülich</v>
      </c>
      <c r="D38" s="63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4" customFormat="1">
      <c r="B39" s="145">
        <v>28</v>
      </c>
      <c r="C39" s="146" t="str">
        <f t="shared" si="0"/>
        <v>Stadtwerke Jülich</v>
      </c>
      <c r="D39" s="63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4" customFormat="1">
      <c r="B40" s="145">
        <v>29</v>
      </c>
      <c r="C40" s="146" t="str">
        <f t="shared" si="0"/>
        <v>Stadtwerke Jülich</v>
      </c>
      <c r="D40" s="63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4" customFormat="1">
      <c r="B41" s="145">
        <v>30</v>
      </c>
      <c r="C41" s="146" t="str">
        <f t="shared" si="0"/>
        <v>Stadtwerke Jülich</v>
      </c>
      <c r="D41" s="63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4" priority="16">
      <formula>ISERROR(F11)</formula>
    </cfRule>
  </conditionalFormatting>
  <conditionalFormatting sqref="E12:F41 Y12:Y41">
    <cfRule type="duplicateValues" dxfId="13" priority="38"/>
  </conditionalFormatting>
  <conditionalFormatting sqref="E12">
    <cfRule type="duplicateValues" dxfId="12" priority="7"/>
  </conditionalFormatting>
  <conditionalFormatting sqref="E12:E26">
    <cfRule type="duplicateValues" dxfId="11" priority="6"/>
  </conditionalFormatting>
  <conditionalFormatting sqref="F12:F26">
    <cfRule type="expression" dxfId="10" priority="5">
      <formula>ISERROR(F12)</formula>
    </cfRule>
  </conditionalFormatting>
  <conditionalFormatting sqref="F12:F26">
    <cfRule type="duplicateValues" dxfId="9" priority="4"/>
  </conditionalFormatting>
  <conditionalFormatting sqref="H12:K13">
    <cfRule type="expression" dxfId="8" priority="3">
      <formula>ISERROR(H12)</formula>
    </cfRule>
  </conditionalFormatting>
  <conditionalFormatting sqref="L12:P13">
    <cfRule type="expression" dxfId="7" priority="2">
      <formula>ISERROR(L12)</formula>
    </cfRule>
  </conditionalFormatting>
  <conditionalFormatting sqref="R12:X13">
    <cfRule type="expression" dxfId="6" priority="1">
      <formula>ISERROR(R12)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9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0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5" t="s">
        <v>348</v>
      </c>
      <c r="B1" s="216">
        <v>42173</v>
      </c>
      <c r="D1" s="132" t="s">
        <v>458</v>
      </c>
      <c r="F1" s="217" t="s">
        <v>552</v>
      </c>
      <c r="N1" s="218"/>
    </row>
    <row r="2" spans="1:14" ht="25.5">
      <c r="A2" s="219" t="s">
        <v>272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5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9" t="s">
        <v>245</v>
      </c>
      <c r="B96" s="129" t="s">
        <v>55</v>
      </c>
      <c r="C96" s="129" t="s">
        <v>323</v>
      </c>
      <c r="D96" s="235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9" t="s">
        <v>245</v>
      </c>
      <c r="B97" s="129" t="s">
        <v>60</v>
      </c>
      <c r="C97" s="129" t="s">
        <v>328</v>
      </c>
      <c r="D97" s="235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9" t="s">
        <v>245</v>
      </c>
      <c r="B98" s="129" t="s">
        <v>65</v>
      </c>
      <c r="C98" s="129" t="s">
        <v>333</v>
      </c>
      <c r="D98" s="235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9" t="s">
        <v>245</v>
      </c>
      <c r="B99" s="129" t="s">
        <v>18</v>
      </c>
      <c r="C99" s="129" t="s">
        <v>286</v>
      </c>
      <c r="D99" s="235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5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5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5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5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5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5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5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5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5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5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5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5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5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5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5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5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5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5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5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5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5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5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5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5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5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5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5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5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5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5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5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5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5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5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5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5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5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5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5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5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5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5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5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5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5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5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5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5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5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5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5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5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5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5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5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5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5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5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5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opLeftCell="A10" zoomScale="80" zoomScaleNormal="80" workbookViewId="0">
      <selection activeCell="T30" sqref="T30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Stadtwerke Jülich GmbH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Stadtwerke Jülich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 t="str">
        <f>Netzbetreiber!$D$11</f>
        <v>9870106800005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41275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6" t="s">
        <v>462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51" t="s">
        <v>590</v>
      </c>
      <c r="C10" s="352"/>
      <c r="D10" s="95">
        <v>2</v>
      </c>
      <c r="E10" s="96" t="str">
        <f>IF(ISERROR(HLOOKUP(E$11,$M$9:$AD$33,$D10,0)),"",HLOOKUP(E$11,$M$9:$AD$33,$D10,0))</f>
        <v/>
      </c>
      <c r="F10" s="349" t="s">
        <v>399</v>
      </c>
      <c r="G10" s="349"/>
      <c r="H10" s="349"/>
      <c r="I10" s="349"/>
      <c r="J10" s="349"/>
      <c r="K10" s="349"/>
      <c r="L10" s="350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4">
        <f>MIN(SUMPRODUCT($M$11:$AD$11,M12:AD12),1)</f>
        <v>1</v>
      </c>
      <c r="F12" s="311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5">
        <f t="shared" ref="E13:E33" si="0">MIN(SUMPRODUCT($M$11:$AD$11,M13:AD13),1)</f>
        <v>0</v>
      </c>
      <c r="F13" s="312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5">
        <f t="shared" si="0"/>
        <v>0</v>
      </c>
      <c r="F14" s="312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5">
        <f t="shared" si="0"/>
        <v>0</v>
      </c>
      <c r="F15" s="312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5">
        <f t="shared" si="0"/>
        <v>1</v>
      </c>
      <c r="F16" s="312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5">
        <f t="shared" si="0"/>
        <v>1</v>
      </c>
      <c r="F17" s="312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5">
        <f t="shared" si="0"/>
        <v>1</v>
      </c>
      <c r="F18" s="312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5">
        <f t="shared" si="0"/>
        <v>1</v>
      </c>
      <c r="F19" s="312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656</v>
      </c>
      <c r="C20" s="118"/>
      <c r="D20" s="112">
        <v>12</v>
      </c>
      <c r="E20" s="315">
        <f t="shared" si="0"/>
        <v>1</v>
      </c>
      <c r="F20" s="312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5">
        <f t="shared" si="0"/>
        <v>1</v>
      </c>
      <c r="F21" s="312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5">
        <f t="shared" si="0"/>
        <v>1</v>
      </c>
      <c r="F22" s="312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5">
        <f t="shared" si="0"/>
        <v>1</v>
      </c>
      <c r="F23" s="312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5">
        <f t="shared" si="0"/>
        <v>0</v>
      </c>
      <c r="F24" s="312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5">
        <f t="shared" si="0"/>
        <v>0</v>
      </c>
      <c r="F25" s="312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5">
        <f t="shared" si="0"/>
        <v>1</v>
      </c>
      <c r="F26" s="312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5">
        <f t="shared" si="0"/>
        <v>0</v>
      </c>
      <c r="F27" s="312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5">
        <f t="shared" si="0"/>
        <v>1</v>
      </c>
      <c r="F28" s="312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5">
        <f t="shared" si="0"/>
        <v>0</v>
      </c>
      <c r="F29" s="312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5">
        <f t="shared" si="0"/>
        <v>1</v>
      </c>
      <c r="F30" s="312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>
        <v>1</v>
      </c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5">
        <f t="shared" si="0"/>
        <v>1</v>
      </c>
      <c r="F31" s="312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5">
        <f t="shared" si="0"/>
        <v>1</v>
      </c>
      <c r="F32" s="312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6">
        <f t="shared" si="0"/>
        <v>1</v>
      </c>
      <c r="F33" s="313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>
        <v>1</v>
      </c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9" customWidth="1"/>
    <col min="16" max="16" width="16.5703125" style="237" customWidth="1"/>
    <col min="17" max="16384" width="11.42578125" style="237"/>
  </cols>
  <sheetData>
    <row r="1" spans="1:16" s="236" customFormat="1">
      <c r="A1" s="132" t="s">
        <v>459</v>
      </c>
      <c r="B1" s="129"/>
      <c r="D1" s="217" t="s">
        <v>552</v>
      </c>
    </row>
    <row r="2" spans="1:16">
      <c r="A2" s="237"/>
      <c r="B2" s="236" t="s">
        <v>460</v>
      </c>
    </row>
    <row r="3" spans="1:16" ht="20.100000000000001" customHeight="1">
      <c r="A3" s="353" t="s">
        <v>249</v>
      </c>
      <c r="B3" s="238" t="s">
        <v>86</v>
      </c>
      <c r="C3" s="239"/>
      <c r="D3" s="355" t="s">
        <v>461</v>
      </c>
      <c r="E3" s="356"/>
      <c r="F3" s="356"/>
      <c r="G3" s="356"/>
      <c r="H3" s="356"/>
      <c r="I3" s="356"/>
      <c r="J3" s="357"/>
      <c r="K3" s="240"/>
      <c r="L3" s="240"/>
      <c r="M3" s="240"/>
      <c r="N3" s="240"/>
      <c r="O3" s="241"/>
      <c r="P3" s="240"/>
    </row>
    <row r="4" spans="1:16" ht="20.100000000000001" customHeight="1">
      <c r="A4" s="354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369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369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Schweren</cp:lastModifiedBy>
  <cp:lastPrinted>2015-03-20T22:59:10Z</cp:lastPrinted>
  <dcterms:created xsi:type="dcterms:W3CDTF">2015-01-15T05:25:41Z</dcterms:created>
  <dcterms:modified xsi:type="dcterms:W3CDTF">2015-10-08T11:13:33Z</dcterms:modified>
</cp:coreProperties>
</file>